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20" documentId="8_{A29F3013-4F67-4C4F-9DD6-8A33BFCF36F8}" xr6:coauthVersionLast="47" xr6:coauthVersionMax="47" xr10:uidLastSave="{CE4962A6-7C06-452B-9EF6-33F4A901D468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INPUT!$A$10:$AG$62</definedName>
    <definedName name="Spreadsheet2">INPUT!$A$66:$AG$220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7" i="14" l="1"/>
  <c r="A3" i="14"/>
  <c r="A4" i="14"/>
  <c r="A5" i="14"/>
  <c r="B66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X66" i="14"/>
  <c r="Y66" i="14"/>
  <c r="AD66" i="14"/>
  <c r="AE66" i="14"/>
  <c r="AF66" i="14"/>
  <c r="AG66" i="14"/>
  <c r="B67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AD67" i="14"/>
  <c r="AE67" i="14"/>
  <c r="AF67" i="14"/>
  <c r="AG67" i="14"/>
  <c r="B68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X68" i="14"/>
  <c r="Y68" i="14"/>
  <c r="AD68" i="14"/>
  <c r="AE68" i="14"/>
  <c r="AF68" i="14"/>
  <c r="AG68" i="14"/>
  <c r="B69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AD69" i="14"/>
  <c r="AE69" i="14"/>
  <c r="AF69" i="14"/>
  <c r="AG69" i="14"/>
  <c r="B70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AD70" i="14"/>
  <c r="AE70" i="14"/>
  <c r="AF70" i="14"/>
  <c r="AG70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D85" i="14"/>
  <c r="E85" i="14"/>
  <c r="F85" i="14"/>
  <c r="G85" i="14"/>
  <c r="H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B108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B109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B110" i="14"/>
  <c r="C110" i="14"/>
  <c r="D110" i="14"/>
  <c r="E110" i="14"/>
  <c r="F110" i="14"/>
  <c r="G110" i="14"/>
  <c r="H110" i="14"/>
  <c r="I110" i="14"/>
  <c r="J110" i="14"/>
  <c r="K110" i="14"/>
  <c r="L110" i="14"/>
  <c r="M110" i="14"/>
  <c r="R110" i="14"/>
  <c r="S110" i="14"/>
  <c r="T110" i="14"/>
  <c r="U110" i="14"/>
  <c r="AD110" i="14"/>
  <c r="AE110" i="14"/>
  <c r="AF110" i="14"/>
  <c r="AG110" i="14"/>
  <c r="B111" i="14"/>
  <c r="C111" i="14"/>
  <c r="D111" i="14"/>
  <c r="E111" i="14"/>
  <c r="F111" i="14"/>
  <c r="G111" i="14"/>
  <c r="H111" i="14"/>
  <c r="I111" i="14"/>
  <c r="J111" i="14"/>
  <c r="K111" i="14"/>
  <c r="L111" i="14"/>
  <c r="M111" i="14"/>
  <c r="R111" i="14"/>
  <c r="S111" i="14"/>
  <c r="T111" i="14"/>
  <c r="U111" i="14"/>
  <c r="AD111" i="14"/>
  <c r="AE111" i="14"/>
  <c r="AF111" i="14"/>
  <c r="AG111" i="14"/>
  <c r="B112" i="14"/>
  <c r="C112" i="14"/>
  <c r="D112" i="14"/>
  <c r="E112" i="14"/>
  <c r="F112" i="14"/>
  <c r="G112" i="14"/>
  <c r="H112" i="14"/>
  <c r="I112" i="14"/>
  <c r="J112" i="14"/>
  <c r="K112" i="14"/>
  <c r="L112" i="14"/>
  <c r="M112" i="14"/>
  <c r="R112" i="14"/>
  <c r="S112" i="14"/>
  <c r="T112" i="14"/>
  <c r="U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R113" i="14"/>
  <c r="S113" i="14"/>
  <c r="T113" i="14"/>
  <c r="U113" i="14"/>
  <c r="Z113" i="14"/>
  <c r="AA113" i="14"/>
  <c r="AB113" i="14"/>
  <c r="AC113" i="14"/>
  <c r="AD113" i="14"/>
  <c r="AE113" i="14"/>
  <c r="AF113" i="14"/>
  <c r="AG113" i="14"/>
  <c r="A6" i="14" l="1"/>
  <c r="B26" i="13"/>
  <c r="C9" i="13"/>
  <c r="H9" i="13"/>
  <c r="B16" i="13"/>
  <c r="B18" i="13"/>
  <c r="B20" i="13"/>
  <c r="B22" i="13"/>
  <c r="B23" i="13"/>
  <c r="B24" i="13"/>
  <c r="B28" i="13"/>
  <c r="B21" i="13" l="1"/>
  <c r="B19" i="13"/>
  <c r="B17" i="13"/>
  <c r="B25" i="13"/>
  <c r="B27" i="13"/>
  <c r="B29" i="13"/>
  <c r="C26" i="13"/>
  <c r="E114" i="14"/>
  <c r="F114" i="14"/>
  <c r="I114" i="14"/>
  <c r="J114" i="14"/>
  <c r="M114" i="14"/>
  <c r="R114" i="14"/>
  <c r="U114" i="14"/>
  <c r="Z114" i="14"/>
  <c r="AC114" i="14"/>
  <c r="AD114" i="14"/>
  <c r="AG114" i="14"/>
  <c r="B114" i="14"/>
  <c r="C29" i="13"/>
  <c r="F23" i="13"/>
  <c r="C23" i="13"/>
  <c r="C19" i="13"/>
  <c r="C21" i="13" l="1"/>
  <c r="F19" i="13"/>
  <c r="F21" i="13"/>
  <c r="F27" i="13"/>
  <c r="F29" i="13"/>
  <c r="C27" i="13"/>
  <c r="C25" i="13"/>
  <c r="F28" i="13"/>
  <c r="F26" i="13"/>
  <c r="F22" i="13"/>
  <c r="F20" i="13"/>
  <c r="F24" i="13"/>
  <c r="F25" i="13"/>
  <c r="D29" i="13"/>
  <c r="D27" i="13"/>
  <c r="D25" i="13"/>
  <c r="K29" i="13"/>
  <c r="H25" i="13"/>
  <c r="K23" i="13"/>
  <c r="K21" i="13"/>
  <c r="H21" i="13"/>
  <c r="AE114" i="14"/>
  <c r="AA114" i="14"/>
  <c r="D23" i="13"/>
  <c r="D21" i="13"/>
  <c r="H29" i="13"/>
  <c r="K25" i="13"/>
  <c r="H23" i="13"/>
  <c r="K19" i="13"/>
  <c r="S114" i="14"/>
  <c r="G114" i="14"/>
  <c r="K114" i="14"/>
  <c r="H19" i="13"/>
  <c r="C114" i="14"/>
  <c r="I19" i="13" s="1"/>
  <c r="D19" i="13"/>
  <c r="T114" i="14"/>
  <c r="J25" i="13" s="1"/>
  <c r="H114" i="14"/>
  <c r="J21" i="13" s="1"/>
  <c r="L114" i="14"/>
  <c r="J23" i="13" s="1"/>
  <c r="AF114" i="14"/>
  <c r="J29" i="13" s="1"/>
  <c r="AB114" i="14"/>
  <c r="E21" i="13"/>
  <c r="E29" i="13"/>
  <c r="E27" i="13"/>
  <c r="E25" i="13"/>
  <c r="E23" i="13"/>
  <c r="E19" i="13"/>
  <c r="D114" i="14"/>
  <c r="J19" i="13" s="1"/>
  <c r="E28" i="13" l="1"/>
  <c r="C28" i="13"/>
  <c r="D26" i="13"/>
  <c r="C24" i="13"/>
  <c r="C22" i="13"/>
  <c r="C20" i="13"/>
  <c r="H20" i="13"/>
  <c r="F18" i="13"/>
  <c r="K18" i="13"/>
  <c r="H18" i="13"/>
  <c r="C18" i="13"/>
  <c r="K20" i="13"/>
  <c r="H22" i="13"/>
  <c r="K22" i="13"/>
  <c r="H24" i="13"/>
  <c r="K24" i="13"/>
  <c r="H26" i="13"/>
  <c r="K26" i="13"/>
  <c r="H28" i="13"/>
  <c r="K28" i="13"/>
  <c r="I29" i="13"/>
  <c r="I25" i="13"/>
  <c r="I23" i="13"/>
  <c r="I21" i="13"/>
  <c r="I28" i="13" l="1"/>
  <c r="D28" i="13"/>
  <c r="I26" i="13"/>
  <c r="J26" i="13"/>
  <c r="E26" i="13"/>
  <c r="J24" i="13"/>
  <c r="E24" i="13"/>
  <c r="I24" i="13"/>
  <c r="D24" i="13"/>
  <c r="I22" i="13"/>
  <c r="D22" i="13"/>
  <c r="J22" i="13"/>
  <c r="E22" i="13"/>
  <c r="I20" i="13"/>
  <c r="D20" i="13"/>
  <c r="J20" i="13"/>
  <c r="E20" i="13"/>
  <c r="J18" i="13"/>
  <c r="E18" i="13"/>
  <c r="I18" i="13"/>
  <c r="D18" i="13"/>
  <c r="J28" i="13"/>
  <c r="E16" i="13" l="1"/>
  <c r="D16" i="13"/>
  <c r="C17" i="13"/>
  <c r="J17" i="13"/>
  <c r="F17" i="13"/>
  <c r="E17" i="13"/>
  <c r="H17" i="13"/>
  <c r="J16" i="13"/>
  <c r="I17" i="13"/>
  <c r="K17" i="13"/>
  <c r="D17" i="13"/>
  <c r="F16" i="13"/>
  <c r="C16" i="13"/>
  <c r="H16" i="13"/>
  <c r="K16" i="13"/>
  <c r="I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revised filing on 7-23-26 from the railroad</t>
        </r>
      </text>
    </comment>
    <comment ref="C85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85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<sst xmlns="http://schemas.openxmlformats.org/spreadsheetml/2006/main" count="251" uniqueCount="152">
  <si>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</si>
  <si>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</si>
  <si>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</si>
  <si>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</si>
  <si>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</si>
  <si>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</si>
  <si>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</si>
  <si>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</si>
  <si>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</si>
  <si>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</si>
  <si>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</si>
  <si>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</si>
  <si>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</si>
  <si>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</si>
  <si>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</si>
  <si>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</si>
  <si>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</si>
  <si>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</si>
  <si>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</si>
  <si>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</si>
  <si>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</si>
  <si>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</si>
  <si>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</si>
  <si>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</si>
  <si>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</si>
  <si>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</si>
  <si>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</si>
  <si>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</si>
  <si>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</si>
  <si>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</si>
  <si>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</si>
  <si>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</si>
  <si>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</si>
  <si>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</si>
  <si>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</si>
  <si>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</si>
  <si>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</si>
  <si>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</si>
  <si>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</si>
  <si>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</si>
  <si>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</si>
  <si>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</si>
  <si>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</si>
  <si>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</si>
  <si>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</si>
  <si>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</si>
  <si>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</si>
  <si>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</si>
  <si>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</si>
  <si>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</si>
  <si>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</si>
  <si>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</si>
  <si>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</si>
  <si>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</si>
  <si>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</si>
  <si>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</si>
  <si>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</si>
  <si>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</si>
  <si>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</si>
  <si>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</si>
  <si>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</si>
  <si>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</si>
  <si>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</si>
  <si>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</si>
  <si>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</si>
  <si>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</si>
  <si>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</si>
  <si>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</si>
  <si>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</si>
  <si>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</si>
  <si>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</si>
  <si>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</si>
  <si>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</si>
  <si>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</si>
  <si>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</si>
  <si>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</si>
  <si>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</si>
  <si>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</si>
  <si>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</si>
  <si>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</si>
  <si>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</si>
  <si>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</si>
  <si>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</si>
  <si>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</si>
  <si>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</si>
  <si>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</si>
  <si>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</si>
  <si>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</si>
  <si>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</si>
  <si>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</si>
  <si>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</si>
  <si>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</si>
  <si>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</si>
  <si>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</si>
  <si>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</si>
  <si>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</si>
  <si>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</si>
  <si>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</si>
  <si>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</si>
  <si>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</si>
  <si>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</si>
  <si>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</si>
  <si>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</si>
  <si>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</si>
  <si>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</si>
  <si>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</si>
  <si>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</si>
  <si>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</si>
  <si>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</si>
  <si>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</si>
  <si>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</si>
  <si>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</si>
  <si>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</si>
  <si>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</si>
  <si>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</si>
  <si>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</si>
  <si>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</si>
  <si>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</si>
  <si>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</si>
  <si>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</si>
  <si>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</si>
  <si>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</si>
  <si>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</si>
  <si>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</si>
  <si>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</si>
  <si>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</si>
  <si>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</si>
  <si>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</si>
  <si>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</si>
  <si>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</si>
  <si>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</si>
  <si>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</si>
  <si>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</si>
  <si>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</si>
  <si>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</si>
  <si>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</si>
  <si>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</si>
  <si>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</si>
  <si>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</si>
  <si>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</si>
  <si>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</si>
  <si>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</si>
  <si>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</si>
  <si>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QUARTER ENDED MARCH 31 2025</t>
  </si>
  <si>
    <t>12 MONTHS ENDED MARCH 31 2025</t>
  </si>
  <si>
    <t>All Figures are in Thousands</t>
  </si>
  <si>
    <t>MARCH 31</t>
  </si>
  <si>
    <t>Canadian Pacific Kansas City</t>
  </si>
  <si>
    <t>N/A</t>
  </si>
  <si>
    <t>(2)   The Accounting Board approved consolidated reporting for SOO and KCSR as CPKC to commence January 1, 2024.  Any 12-month totals which did not have</t>
  </si>
  <si>
    <t xml:space="preserve">       consolidated CPKC data for the entire time period are reported here as N/A.</t>
  </si>
  <si>
    <t xml:space="preserve">       equipment and joint facility rents.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</si>
</sst>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37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14"/>
  <sheetViews>
    <sheetView tabSelected="1" zoomScaleNormal="100" workbookViewId="0">
      <pane ySplit="9" topLeftCell="A58" activePane="bottomLeft" state="frozen"/>
      <selection pane="bottomLeft" activeCell="E4" sqref="E4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146</v>
      </c>
      <c r="B1" s="40" t="s">
        <v>89</v>
      </c>
      <c r="C1" s="5" t="s">
        <v>115</v>
      </c>
    </row>
    <row r="2" spans="1:63">
      <c r="A2" s="51">
        <v>2025</v>
      </c>
      <c r="B2" s="5" t="s">
        <v>88</v>
      </c>
    </row>
    <row r="3" spans="1:63">
      <c r="A3" s="41" t="str">
        <f>"QUARTER ENDED "&amp;A1</f>
        <v>QUARTER ENDED MARCH 31</v>
      </c>
      <c r="B3" s="1" t="s">
        <v>145</v>
      </c>
      <c r="D3" s="59"/>
    </row>
    <row r="4" spans="1:63">
      <c r="A4" s="41" t="str">
        <f>"12 MONTHS ENDED "&amp;A1</f>
        <v>12 MONTHS ENDED MARCH 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2025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2024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72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4" t="s">
        <v>19</v>
      </c>
      <c r="C8" s="75"/>
      <c r="D8" s="75"/>
      <c r="E8" s="76"/>
      <c r="F8" s="74" t="s">
        <v>20</v>
      </c>
      <c r="G8" s="75"/>
      <c r="H8" s="75"/>
      <c r="I8" s="76"/>
      <c r="J8" s="74" t="s">
        <v>21</v>
      </c>
      <c r="K8" s="75"/>
      <c r="L8" s="75"/>
      <c r="M8" s="76"/>
      <c r="N8" s="74" t="s">
        <v>22</v>
      </c>
      <c r="O8" s="75"/>
      <c r="P8" s="75"/>
      <c r="Q8" s="76"/>
      <c r="R8" s="74" t="s">
        <v>23</v>
      </c>
      <c r="S8" s="75"/>
      <c r="T8" s="75"/>
      <c r="U8" s="76"/>
      <c r="V8" s="74" t="s">
        <v>24</v>
      </c>
      <c r="W8" s="75"/>
      <c r="X8" s="75"/>
      <c r="Y8" s="76"/>
      <c r="Z8" s="74" t="s">
        <v>147</v>
      </c>
      <c r="AA8" s="75"/>
      <c r="AB8" s="75"/>
      <c r="AC8" s="76"/>
      <c r="AD8" s="74" t="s">
        <v>25</v>
      </c>
      <c r="AE8" s="75"/>
      <c r="AF8" s="75"/>
      <c r="AG8" s="76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37</v>
      </c>
      <c r="F9" s="56" t="s">
        <v>0</v>
      </c>
      <c r="G9" s="57" t="s">
        <v>1</v>
      </c>
      <c r="H9" s="57" t="s">
        <v>2</v>
      </c>
      <c r="I9" s="58" t="s">
        <v>37</v>
      </c>
      <c r="J9" s="56" t="s">
        <v>0</v>
      </c>
      <c r="K9" s="57" t="s">
        <v>1</v>
      </c>
      <c r="L9" s="57" t="s">
        <v>2</v>
      </c>
      <c r="M9" s="58" t="s">
        <v>37</v>
      </c>
      <c r="N9" s="56" t="s">
        <v>0</v>
      </c>
      <c r="O9" s="57" t="s">
        <v>1</v>
      </c>
      <c r="P9" s="57" t="s">
        <v>2</v>
      </c>
      <c r="Q9" s="58" t="s">
        <v>37</v>
      </c>
      <c r="R9" s="56" t="s">
        <v>0</v>
      </c>
      <c r="S9" s="57" t="s">
        <v>1</v>
      </c>
      <c r="T9" s="57" t="s">
        <v>2</v>
      </c>
      <c r="U9" s="58" t="s">
        <v>37</v>
      </c>
      <c r="V9" s="56" t="s">
        <v>0</v>
      </c>
      <c r="W9" s="57" t="s">
        <v>1</v>
      </c>
      <c r="X9" s="57" t="s">
        <v>2</v>
      </c>
      <c r="Y9" s="58" t="s">
        <v>37</v>
      </c>
      <c r="Z9" s="56" t="s">
        <v>0</v>
      </c>
      <c r="AA9" s="57" t="s">
        <v>1</v>
      </c>
      <c r="AB9" s="57" t="s">
        <v>2</v>
      </c>
      <c r="AC9" s="58" t="s">
        <v>37</v>
      </c>
      <c r="AD9" s="56" t="s">
        <v>0</v>
      </c>
      <c r="AE9" s="57" t="s">
        <v>1</v>
      </c>
      <c r="AF9" s="57" t="s">
        <v>2</v>
      </c>
      <c r="AG9" s="58" t="s">
        <v>37</v>
      </c>
      <c r="AH9" s="1"/>
      <c r="BK9" s="23"/>
    </row>
    <row r="10" spans="1:63">
      <c r="A10" s="28" t="s">
        <v>38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39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40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41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42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43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44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45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46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74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47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48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49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80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50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51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52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82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53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54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55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81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56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93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90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102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91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92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104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105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106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103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107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108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109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110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111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112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113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40">
      <c r="A49" s="28" t="s">
        <v>114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40">
      <c r="A50" s="28" t="s">
        <v>121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40">
      <c r="A51" s="28" t="s">
        <v>123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40">
      <c r="A52" s="28" t="s">
        <v>125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40">
      <c r="A53" s="28" t="s">
        <v>131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40">
      <c r="A54" s="28" t="s">
        <v>132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40">
      <c r="A55" s="28" t="s">
        <v>133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40">
      <c r="A56" s="28" t="s">
        <v>134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40">
      <c r="A57" s="28" t="s">
        <v>135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40">
      <c r="A58" s="28" t="s">
        <v>136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40">
      <c r="A59" s="28" t="s">
        <v>137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40">
      <c r="A60" s="28" t="s">
        <v>138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40">
      <c r="A61" s="28" t="s">
        <v>143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40" ht="10.5" thickBot="1">
      <c r="A62" s="60"/>
      <c r="B62" s="34"/>
      <c r="C62" s="24"/>
      <c r="D62" s="24"/>
      <c r="E62" s="24"/>
      <c r="F62" s="34"/>
      <c r="G62" s="36"/>
      <c r="H62" s="36"/>
      <c r="I62" s="39"/>
      <c r="J62" s="34"/>
      <c r="K62" s="24"/>
      <c r="L62" s="24"/>
      <c r="M62" s="35"/>
      <c r="N62" s="34"/>
      <c r="O62" s="24"/>
      <c r="P62" s="24"/>
      <c r="Q62" s="35"/>
      <c r="R62" s="34"/>
      <c r="S62" s="24"/>
      <c r="T62" s="24"/>
      <c r="U62" s="35"/>
      <c r="V62" s="34"/>
      <c r="W62" s="24"/>
      <c r="X62" s="24"/>
      <c r="Y62" s="35"/>
      <c r="Z62" s="34"/>
      <c r="AA62" s="24"/>
      <c r="AB62" s="24"/>
      <c r="AC62" s="35"/>
      <c r="AD62" s="34"/>
      <c r="AE62" s="24"/>
      <c r="AF62" s="24"/>
      <c r="AG62" s="35"/>
      <c r="AH62" s="1"/>
    </row>
    <row r="63" spans="1:40">
      <c r="A63" s="28"/>
      <c r="B63" s="62"/>
      <c r="C63" s="63"/>
      <c r="D63" s="63"/>
      <c r="E63" s="63"/>
      <c r="F63" s="62"/>
      <c r="G63" s="64"/>
      <c r="H63" s="64"/>
      <c r="I63" s="65"/>
      <c r="J63" s="63"/>
      <c r="K63" s="63"/>
      <c r="L63" s="63"/>
      <c r="M63" s="63"/>
      <c r="N63" s="62"/>
      <c r="O63" s="63"/>
      <c r="P63" s="63"/>
      <c r="Q63" s="66"/>
      <c r="R63" s="63"/>
      <c r="S63" s="63"/>
      <c r="T63" s="63"/>
      <c r="U63" s="63"/>
      <c r="V63" s="62"/>
      <c r="W63" s="63"/>
      <c r="X63" s="63"/>
      <c r="Y63" s="66"/>
      <c r="Z63" s="63"/>
      <c r="AA63" s="63"/>
      <c r="AB63" s="63"/>
      <c r="AC63" s="63"/>
      <c r="AD63" s="62"/>
      <c r="AE63" s="63"/>
      <c r="AF63" s="63"/>
      <c r="AG63" s="66"/>
      <c r="AH63" s="1"/>
    </row>
    <row r="64" spans="1:40" ht="10.5">
      <c r="B64" s="74" t="s">
        <v>19</v>
      </c>
      <c r="C64" s="75"/>
      <c r="D64" s="75"/>
      <c r="E64" s="75"/>
      <c r="F64" s="74" t="s">
        <v>20</v>
      </c>
      <c r="G64" s="75"/>
      <c r="H64" s="75"/>
      <c r="I64" s="76"/>
      <c r="J64" s="75" t="s">
        <v>21</v>
      </c>
      <c r="K64" s="75"/>
      <c r="L64" s="75"/>
      <c r="M64" s="75"/>
      <c r="N64" s="74" t="s">
        <v>22</v>
      </c>
      <c r="O64" s="75"/>
      <c r="P64" s="75"/>
      <c r="Q64" s="76"/>
      <c r="R64" s="75" t="s">
        <v>23</v>
      </c>
      <c r="S64" s="75"/>
      <c r="T64" s="75"/>
      <c r="U64" s="75"/>
      <c r="V64" s="74" t="s">
        <v>24</v>
      </c>
      <c r="W64" s="75"/>
      <c r="X64" s="75"/>
      <c r="Y64" s="76"/>
      <c r="Z64" s="74" t="s">
        <v>147</v>
      </c>
      <c r="AA64" s="75"/>
      <c r="AB64" s="75"/>
      <c r="AC64" s="76"/>
      <c r="AD64" s="74" t="s">
        <v>25</v>
      </c>
      <c r="AE64" s="75"/>
      <c r="AF64" s="75"/>
      <c r="AG64" s="76"/>
      <c r="AN64" s="1"/>
    </row>
    <row r="65" spans="1:33" ht="34" customHeight="1" thickBot="1">
      <c r="A65" s="33" t="s">
        <v>73</v>
      </c>
      <c r="B65" s="56" t="s">
        <v>0</v>
      </c>
      <c r="C65" s="57" t="s">
        <v>1</v>
      </c>
      <c r="D65" s="57" t="s">
        <v>2</v>
      </c>
      <c r="E65" s="67" t="s">
        <v>37</v>
      </c>
      <c r="F65" s="56" t="s">
        <v>0</v>
      </c>
      <c r="G65" s="57" t="s">
        <v>1</v>
      </c>
      <c r="H65" s="57" t="s">
        <v>2</v>
      </c>
      <c r="I65" s="58" t="s">
        <v>37</v>
      </c>
      <c r="J65" s="57" t="s">
        <v>0</v>
      </c>
      <c r="K65" s="57" t="s">
        <v>1</v>
      </c>
      <c r="L65" s="57" t="s">
        <v>2</v>
      </c>
      <c r="M65" s="67" t="s">
        <v>37</v>
      </c>
      <c r="N65" s="56" t="s">
        <v>0</v>
      </c>
      <c r="O65" s="57" t="s">
        <v>1</v>
      </c>
      <c r="P65" s="57" t="s">
        <v>2</v>
      </c>
      <c r="Q65" s="58" t="s">
        <v>37</v>
      </c>
      <c r="R65" s="57" t="s">
        <v>0</v>
      </c>
      <c r="S65" s="57" t="s">
        <v>1</v>
      </c>
      <c r="T65" s="57" t="s">
        <v>2</v>
      </c>
      <c r="U65" s="67" t="s">
        <v>37</v>
      </c>
      <c r="V65" s="56" t="s">
        <v>0</v>
      </c>
      <c r="W65" s="57" t="s">
        <v>1</v>
      </c>
      <c r="X65" s="57" t="s">
        <v>2</v>
      </c>
      <c r="Y65" s="58" t="s">
        <v>37</v>
      </c>
      <c r="Z65" s="57" t="s">
        <v>0</v>
      </c>
      <c r="AA65" s="57" t="s">
        <v>1</v>
      </c>
      <c r="AB65" s="57" t="s">
        <v>2</v>
      </c>
      <c r="AC65" s="67" t="s">
        <v>37</v>
      </c>
      <c r="AD65" s="56" t="s">
        <v>0</v>
      </c>
      <c r="AE65" s="57" t="s">
        <v>1</v>
      </c>
      <c r="AF65" s="57" t="s">
        <v>2</v>
      </c>
      <c r="AG65" s="58" t="s">
        <v>37</v>
      </c>
    </row>
    <row r="66" spans="1:33">
      <c r="A66" s="1" t="s">
        <v>57</v>
      </c>
      <c r="B66" s="34">
        <f t="shared" ref="B66:Y66" si="0">SUM(B10:B13)</f>
        <v>21112835</v>
      </c>
      <c r="C66" s="24">
        <f t="shared" si="0"/>
        <v>3791381</v>
      </c>
      <c r="D66" s="24">
        <f t="shared" si="0"/>
        <v>3838618</v>
      </c>
      <c r="E66" s="24">
        <f t="shared" si="0"/>
        <v>656999230</v>
      </c>
      <c r="F66" s="34">
        <f t="shared" si="0"/>
        <v>11403937</v>
      </c>
      <c r="G66" s="24">
        <f t="shared" si="0"/>
        <v>1745846</v>
      </c>
      <c r="H66" s="24">
        <f t="shared" si="0"/>
        <v>1831881</v>
      </c>
      <c r="I66" s="35">
        <f t="shared" si="0"/>
        <v>222375167</v>
      </c>
      <c r="J66" s="24">
        <f t="shared" si="0"/>
        <v>3131289</v>
      </c>
      <c r="K66" s="24">
        <f t="shared" si="0"/>
        <v>736922</v>
      </c>
      <c r="L66" s="24">
        <f t="shared" si="0"/>
        <v>442435</v>
      </c>
      <c r="M66" s="24">
        <f t="shared" si="0"/>
        <v>56699419</v>
      </c>
      <c r="N66" s="34">
        <f t="shared" si="0"/>
        <v>1202125</v>
      </c>
      <c r="O66" s="24">
        <f t="shared" si="0"/>
        <v>220220</v>
      </c>
      <c r="P66" s="24">
        <f t="shared" si="0"/>
        <v>162084</v>
      </c>
      <c r="Q66" s="35">
        <f t="shared" si="0"/>
        <v>30629324</v>
      </c>
      <c r="R66" s="24">
        <f t="shared" si="0"/>
        <v>10988831</v>
      </c>
      <c r="S66" s="24">
        <f t="shared" si="0"/>
        <v>1811969</v>
      </c>
      <c r="T66" s="24">
        <f t="shared" si="0"/>
        <v>1880537</v>
      </c>
      <c r="U66" s="24">
        <f t="shared" si="0"/>
        <v>187834537</v>
      </c>
      <c r="V66" s="34">
        <f t="shared" si="0"/>
        <v>1641674</v>
      </c>
      <c r="W66" s="24">
        <f t="shared" si="0"/>
        <v>185659</v>
      </c>
      <c r="X66" s="24">
        <f t="shared" si="0"/>
        <v>74220</v>
      </c>
      <c r="Y66" s="35">
        <f t="shared" si="0"/>
        <v>37789948</v>
      </c>
      <c r="Z66" s="24"/>
      <c r="AA66" s="24"/>
      <c r="AB66" s="24"/>
      <c r="AC66" s="24"/>
      <c r="AD66" s="34">
        <f t="shared" ref="AD66:AG85" si="1">SUM(AD10:AD13)</f>
        <v>21075893</v>
      </c>
      <c r="AE66" s="24">
        <f t="shared" si="1"/>
        <v>4094609</v>
      </c>
      <c r="AF66" s="24">
        <f t="shared" si="1"/>
        <v>4163285</v>
      </c>
      <c r="AG66" s="35">
        <f t="shared" si="1"/>
        <v>512367000</v>
      </c>
    </row>
    <row r="67" spans="1:33">
      <c r="A67" s="1" t="s">
        <v>58</v>
      </c>
      <c r="B67" s="34">
        <f t="shared" ref="B67:Y67" si="2">SUM(B11:B14)</f>
        <v>21363758</v>
      </c>
      <c r="C67" s="24">
        <f t="shared" si="2"/>
        <v>3879411</v>
      </c>
      <c r="D67" s="24">
        <f t="shared" si="2"/>
        <v>3948595</v>
      </c>
      <c r="E67" s="24">
        <f t="shared" si="2"/>
        <v>660364698</v>
      </c>
      <c r="F67" s="34">
        <f t="shared" si="2"/>
        <v>11393686</v>
      </c>
      <c r="G67" s="24">
        <f t="shared" si="2"/>
        <v>1731711</v>
      </c>
      <c r="H67" s="24">
        <f t="shared" si="2"/>
        <v>1822639</v>
      </c>
      <c r="I67" s="35">
        <f t="shared" si="2"/>
        <v>222524888</v>
      </c>
      <c r="J67" s="24">
        <f t="shared" si="2"/>
        <v>3162384</v>
      </c>
      <c r="K67" s="24">
        <f t="shared" si="2"/>
        <v>751120</v>
      </c>
      <c r="L67" s="24">
        <f t="shared" si="2"/>
        <v>473429</v>
      </c>
      <c r="M67" s="24">
        <f t="shared" si="2"/>
        <v>57512727</v>
      </c>
      <c r="N67" s="34">
        <f t="shared" si="2"/>
        <v>1216176</v>
      </c>
      <c r="O67" s="24">
        <f t="shared" si="2"/>
        <v>229150</v>
      </c>
      <c r="P67" s="24">
        <f t="shared" si="2"/>
        <v>171903</v>
      </c>
      <c r="Q67" s="35">
        <f t="shared" si="2"/>
        <v>31201547</v>
      </c>
      <c r="R67" s="24">
        <f t="shared" si="2"/>
        <v>10917050</v>
      </c>
      <c r="S67" s="24">
        <f t="shared" si="2"/>
        <v>1757108</v>
      </c>
      <c r="T67" s="24">
        <f t="shared" si="2"/>
        <v>1815323</v>
      </c>
      <c r="U67" s="24">
        <f t="shared" si="2"/>
        <v>189244641</v>
      </c>
      <c r="V67" s="34">
        <f t="shared" si="2"/>
        <v>1700938</v>
      </c>
      <c r="W67" s="24">
        <f t="shared" si="2"/>
        <v>242664</v>
      </c>
      <c r="X67" s="24">
        <f t="shared" si="2"/>
        <v>132072</v>
      </c>
      <c r="Y67" s="35">
        <f t="shared" si="2"/>
        <v>39483418</v>
      </c>
      <c r="Z67" s="24"/>
      <c r="AA67" s="24"/>
      <c r="AB67" s="24"/>
      <c r="AC67" s="24"/>
      <c r="AD67" s="34">
        <f t="shared" si="1"/>
        <v>21324770</v>
      </c>
      <c r="AE67" s="24">
        <f t="shared" si="1"/>
        <v>4184446</v>
      </c>
      <c r="AF67" s="24">
        <f t="shared" si="1"/>
        <v>4275624</v>
      </c>
      <c r="AG67" s="35">
        <f t="shared" si="1"/>
        <v>513152000</v>
      </c>
    </row>
    <row r="68" spans="1:33">
      <c r="A68" s="1" t="s">
        <v>76</v>
      </c>
      <c r="B68" s="34">
        <f t="shared" ref="B68:Y68" si="3">SUM(B12:B15)</f>
        <v>21608783</v>
      </c>
      <c r="C68" s="24">
        <f t="shared" si="3"/>
        <v>3935410</v>
      </c>
      <c r="D68" s="24">
        <f t="shared" si="3"/>
        <v>4004142</v>
      </c>
      <c r="E68" s="24">
        <f t="shared" si="3"/>
        <v>666421106</v>
      </c>
      <c r="F68" s="34">
        <f t="shared" si="3"/>
        <v>11432753</v>
      </c>
      <c r="G68" s="24">
        <f t="shared" si="3"/>
        <v>1734998</v>
      </c>
      <c r="H68" s="24">
        <f t="shared" si="3"/>
        <v>1837874</v>
      </c>
      <c r="I68" s="35">
        <f t="shared" si="3"/>
        <v>223219482</v>
      </c>
      <c r="J68" s="24">
        <f t="shared" si="3"/>
        <v>3213174</v>
      </c>
      <c r="K68" s="24">
        <f t="shared" si="3"/>
        <v>773185</v>
      </c>
      <c r="L68" s="24">
        <f t="shared" si="3"/>
        <v>480469</v>
      </c>
      <c r="M68" s="24">
        <f t="shared" si="3"/>
        <v>58318648</v>
      </c>
      <c r="N68" s="34">
        <f t="shared" si="3"/>
        <v>1238784</v>
      </c>
      <c r="O68" s="24">
        <f t="shared" si="3"/>
        <v>239161</v>
      </c>
      <c r="P68" s="24">
        <f t="shared" si="3"/>
        <v>177967</v>
      </c>
      <c r="Q68" s="35">
        <f t="shared" si="3"/>
        <v>32126077</v>
      </c>
      <c r="R68" s="24">
        <f t="shared" si="3"/>
        <v>11047713</v>
      </c>
      <c r="S68" s="24">
        <f t="shared" si="3"/>
        <v>1844957</v>
      </c>
      <c r="T68" s="24">
        <f t="shared" si="3"/>
        <v>1896745</v>
      </c>
      <c r="U68" s="24">
        <f t="shared" si="3"/>
        <v>191454764</v>
      </c>
      <c r="V68" s="34">
        <f t="shared" si="3"/>
        <v>1733232</v>
      </c>
      <c r="W68" s="24">
        <f t="shared" si="3"/>
        <v>280390</v>
      </c>
      <c r="X68" s="24">
        <f t="shared" si="3"/>
        <v>171815</v>
      </c>
      <c r="Y68" s="35">
        <f t="shared" si="3"/>
        <v>40552054</v>
      </c>
      <c r="Z68" s="24"/>
      <c r="AA68" s="24"/>
      <c r="AB68" s="24"/>
      <c r="AC68" s="24"/>
      <c r="AD68" s="34">
        <f t="shared" si="1"/>
        <v>21553988</v>
      </c>
      <c r="AE68" s="24">
        <f t="shared" si="1"/>
        <v>4284688</v>
      </c>
      <c r="AF68" s="24">
        <f t="shared" si="1"/>
        <v>4399470</v>
      </c>
      <c r="AG68" s="35">
        <f t="shared" si="1"/>
        <v>511129000</v>
      </c>
    </row>
    <row r="69" spans="1:33">
      <c r="A69" s="1" t="s">
        <v>59</v>
      </c>
      <c r="B69" s="34">
        <f t="shared" ref="B69:Y69" si="4">SUM(B13:B16)</f>
        <v>21858442</v>
      </c>
      <c r="C69" s="24">
        <f t="shared" si="4"/>
        <v>4154710</v>
      </c>
      <c r="D69" s="24">
        <f t="shared" si="4"/>
        <v>4216729</v>
      </c>
      <c r="E69" s="24">
        <f t="shared" si="4"/>
        <v>675423679</v>
      </c>
      <c r="F69" s="34">
        <f t="shared" si="4"/>
        <v>11737414</v>
      </c>
      <c r="G69" s="24">
        <f t="shared" si="4"/>
        <v>1748282</v>
      </c>
      <c r="H69" s="24">
        <f t="shared" si="4"/>
        <v>1763073</v>
      </c>
      <c r="I69" s="35">
        <f t="shared" si="4"/>
        <v>227475402</v>
      </c>
      <c r="J69" s="24">
        <f t="shared" si="4"/>
        <v>3239139</v>
      </c>
      <c r="K69" s="24">
        <f t="shared" si="4"/>
        <v>833386</v>
      </c>
      <c r="L69" s="24">
        <f t="shared" si="4"/>
        <v>527520</v>
      </c>
      <c r="M69" s="24">
        <f t="shared" si="4"/>
        <v>59435364</v>
      </c>
      <c r="N69" s="34">
        <f t="shared" si="4"/>
        <v>1254478</v>
      </c>
      <c r="O69" s="24">
        <f t="shared" si="4"/>
        <v>236020</v>
      </c>
      <c r="P69" s="24">
        <f t="shared" si="4"/>
        <v>170904</v>
      </c>
      <c r="Q69" s="35">
        <f t="shared" si="4"/>
        <v>32830970</v>
      </c>
      <c r="R69" s="24">
        <f t="shared" si="4"/>
        <v>11244709</v>
      </c>
      <c r="S69" s="24">
        <f t="shared" si="4"/>
        <v>1953722</v>
      </c>
      <c r="T69" s="24">
        <f t="shared" si="4"/>
        <v>1998124</v>
      </c>
      <c r="U69" s="24">
        <f t="shared" si="4"/>
        <v>193551759</v>
      </c>
      <c r="V69" s="34">
        <f t="shared" si="4"/>
        <v>1716789</v>
      </c>
      <c r="W69" s="24">
        <f t="shared" si="4"/>
        <v>352325</v>
      </c>
      <c r="X69" s="24">
        <f t="shared" si="4"/>
        <v>265601</v>
      </c>
      <c r="Y69" s="35">
        <f t="shared" si="4"/>
        <v>40284628</v>
      </c>
      <c r="Z69" s="24"/>
      <c r="AA69" s="24"/>
      <c r="AB69" s="24"/>
      <c r="AC69" s="24"/>
      <c r="AD69" s="34">
        <f t="shared" si="1"/>
        <v>21935122</v>
      </c>
      <c r="AE69" s="24">
        <f t="shared" si="1"/>
        <v>4409890</v>
      </c>
      <c r="AF69" s="24">
        <f t="shared" si="1"/>
        <v>4536226</v>
      </c>
      <c r="AG69" s="35">
        <f t="shared" si="1"/>
        <v>514272000</v>
      </c>
    </row>
    <row r="70" spans="1:33">
      <c r="A70" s="1" t="s">
        <v>60</v>
      </c>
      <c r="B70" s="34">
        <f t="shared" ref="B70:Y70" si="5">SUM(B14:B17)</f>
        <v>21988621</v>
      </c>
      <c r="C70" s="24">
        <f t="shared" si="5"/>
        <v>4067090</v>
      </c>
      <c r="D70" s="24">
        <f t="shared" si="5"/>
        <v>4141254</v>
      </c>
      <c r="E70" s="24">
        <f t="shared" si="5"/>
        <v>681360301</v>
      </c>
      <c r="F70" s="34">
        <f t="shared" si="5"/>
        <v>11788439</v>
      </c>
      <c r="G70" s="24">
        <f t="shared" si="5"/>
        <v>1684763</v>
      </c>
      <c r="H70" s="24">
        <f t="shared" si="5"/>
        <v>1701498</v>
      </c>
      <c r="I70" s="35">
        <f t="shared" si="5"/>
        <v>229240586</v>
      </c>
      <c r="J70" s="24">
        <f t="shared" si="5"/>
        <v>3249007</v>
      </c>
      <c r="K70" s="24">
        <f t="shared" si="5"/>
        <v>789365</v>
      </c>
      <c r="L70" s="24">
        <f t="shared" si="5"/>
        <v>486115</v>
      </c>
      <c r="M70" s="24">
        <f t="shared" si="5"/>
        <v>60295947</v>
      </c>
      <c r="N70" s="34">
        <f t="shared" si="5"/>
        <v>1282885</v>
      </c>
      <c r="O70" s="24">
        <f t="shared" si="5"/>
        <v>237323</v>
      </c>
      <c r="P70" s="24">
        <f t="shared" si="5"/>
        <v>160438</v>
      </c>
      <c r="Q70" s="35">
        <f t="shared" si="5"/>
        <v>34078203</v>
      </c>
      <c r="R70" s="24">
        <f t="shared" si="5"/>
        <v>11196040</v>
      </c>
      <c r="S70" s="24">
        <f t="shared" si="5"/>
        <v>1965376</v>
      </c>
      <c r="T70" s="24">
        <f t="shared" si="5"/>
        <v>1909520</v>
      </c>
      <c r="U70" s="24">
        <f t="shared" si="5"/>
        <v>192989554</v>
      </c>
      <c r="V70" s="34">
        <f t="shared" si="5"/>
        <v>1698383</v>
      </c>
      <c r="W70" s="24">
        <f t="shared" si="5"/>
        <v>353606</v>
      </c>
      <c r="X70" s="24">
        <f t="shared" si="5"/>
        <v>274722</v>
      </c>
      <c r="Y70" s="35">
        <f t="shared" si="5"/>
        <v>39217965</v>
      </c>
      <c r="Z70" s="24"/>
      <c r="AA70" s="24"/>
      <c r="AB70" s="24"/>
      <c r="AC70" s="24"/>
      <c r="AD70" s="34">
        <f t="shared" si="1"/>
        <v>22281832</v>
      </c>
      <c r="AE70" s="24">
        <f t="shared" si="1"/>
        <v>4535706</v>
      </c>
      <c r="AF70" s="24">
        <f t="shared" si="1"/>
        <v>4675607</v>
      </c>
      <c r="AG70" s="35">
        <f t="shared" si="1"/>
        <v>521852000</v>
      </c>
    </row>
    <row r="71" spans="1:33">
      <c r="A71" s="1" t="s">
        <v>61</v>
      </c>
      <c r="B71" s="34">
        <f t="shared" ref="B71:Y71" si="6">SUM(B15:B18)</f>
        <v>22369842</v>
      </c>
      <c r="C71" s="24">
        <f t="shared" si="6"/>
        <v>4098609</v>
      </c>
      <c r="D71" s="24">
        <f t="shared" si="6"/>
        <v>4165631</v>
      </c>
      <c r="E71" s="24">
        <f t="shared" si="6"/>
        <v>695633514</v>
      </c>
      <c r="F71" s="34">
        <f t="shared" si="6"/>
        <v>11964554</v>
      </c>
      <c r="G71" s="24">
        <f t="shared" si="6"/>
        <v>1695980</v>
      </c>
      <c r="H71" s="24">
        <f t="shared" si="6"/>
        <v>1707846</v>
      </c>
      <c r="I71" s="35">
        <f t="shared" si="6"/>
        <v>235386364</v>
      </c>
      <c r="J71" s="24">
        <f t="shared" si="6"/>
        <v>3313446</v>
      </c>
      <c r="K71" s="24">
        <f t="shared" si="6"/>
        <v>803816</v>
      </c>
      <c r="L71" s="24">
        <f t="shared" si="6"/>
        <v>476999</v>
      </c>
      <c r="M71" s="24">
        <f t="shared" si="6"/>
        <v>62020327</v>
      </c>
      <c r="N71" s="34">
        <f t="shared" si="6"/>
        <v>1314555</v>
      </c>
      <c r="O71" s="24">
        <f t="shared" si="6"/>
        <v>242986</v>
      </c>
      <c r="P71" s="24">
        <f t="shared" si="6"/>
        <v>163820</v>
      </c>
      <c r="Q71" s="35">
        <f t="shared" si="6"/>
        <v>34929004</v>
      </c>
      <c r="R71" s="24">
        <f t="shared" si="6"/>
        <v>11436049</v>
      </c>
      <c r="S71" s="24">
        <f t="shared" si="6"/>
        <v>2077937</v>
      </c>
      <c r="T71" s="24">
        <f t="shared" si="6"/>
        <v>2022794</v>
      </c>
      <c r="U71" s="24">
        <f t="shared" si="6"/>
        <v>197609688</v>
      </c>
      <c r="V71" s="34">
        <f t="shared" si="6"/>
        <v>1711549</v>
      </c>
      <c r="W71" s="24">
        <f t="shared" si="6"/>
        <v>353158</v>
      </c>
      <c r="X71" s="24">
        <f t="shared" si="6"/>
        <v>44091</v>
      </c>
      <c r="Y71" s="35">
        <f t="shared" si="6"/>
        <v>39013304</v>
      </c>
      <c r="Z71" s="24"/>
      <c r="AA71" s="24"/>
      <c r="AB71" s="24"/>
      <c r="AC71" s="24"/>
      <c r="AD71" s="34">
        <f t="shared" si="1"/>
        <v>22827501</v>
      </c>
      <c r="AE71" s="24">
        <f t="shared" si="1"/>
        <v>4717309</v>
      </c>
      <c r="AF71" s="24">
        <f t="shared" si="1"/>
        <v>4875575</v>
      </c>
      <c r="AG71" s="35">
        <f t="shared" si="1"/>
        <v>530201000</v>
      </c>
    </row>
    <row r="72" spans="1:33">
      <c r="A72" s="1" t="s">
        <v>75</v>
      </c>
      <c r="B72" s="34">
        <f t="shared" ref="B72:Y72" si="7">SUM(B16:B19)</f>
        <v>22610099</v>
      </c>
      <c r="C72" s="24">
        <f t="shared" si="7"/>
        <v>4169503</v>
      </c>
      <c r="D72" s="24">
        <f t="shared" si="7"/>
        <v>4249656</v>
      </c>
      <c r="E72" s="24">
        <f t="shared" si="7"/>
        <v>699165225</v>
      </c>
      <c r="F72" s="34">
        <f t="shared" si="7"/>
        <v>12184810</v>
      </c>
      <c r="G72" s="24">
        <f t="shared" si="7"/>
        <v>1752119</v>
      </c>
      <c r="H72" s="24">
        <f t="shared" si="7"/>
        <v>1759313</v>
      </c>
      <c r="I72" s="35">
        <f t="shared" si="7"/>
        <v>240276768</v>
      </c>
      <c r="J72" s="24">
        <f t="shared" si="7"/>
        <v>3403492</v>
      </c>
      <c r="K72" s="24">
        <f t="shared" si="7"/>
        <v>832224</v>
      </c>
      <c r="L72" s="24">
        <f t="shared" si="7"/>
        <v>509598</v>
      </c>
      <c r="M72" s="24">
        <f t="shared" si="7"/>
        <v>63966239</v>
      </c>
      <c r="N72" s="34">
        <f t="shared" si="7"/>
        <v>1343201</v>
      </c>
      <c r="O72" s="24">
        <f t="shared" si="7"/>
        <v>249479</v>
      </c>
      <c r="P72" s="24">
        <f t="shared" si="7"/>
        <v>165864</v>
      </c>
      <c r="Q72" s="35">
        <f t="shared" si="7"/>
        <v>35350424</v>
      </c>
      <c r="R72" s="24">
        <f t="shared" si="7"/>
        <v>11634801</v>
      </c>
      <c r="S72" s="24">
        <f t="shared" si="7"/>
        <v>2146546</v>
      </c>
      <c r="T72" s="24">
        <f t="shared" si="7"/>
        <v>2092207</v>
      </c>
      <c r="U72" s="24">
        <f t="shared" si="7"/>
        <v>202004911</v>
      </c>
      <c r="V72" s="34">
        <f t="shared" si="7"/>
        <v>1742905</v>
      </c>
      <c r="W72" s="24">
        <f t="shared" si="7"/>
        <v>370364</v>
      </c>
      <c r="X72" s="24">
        <f t="shared" si="7"/>
        <v>64027</v>
      </c>
      <c r="Y72" s="35">
        <f t="shared" si="7"/>
        <v>39362541</v>
      </c>
      <c r="Z72" s="24"/>
      <c r="AA72" s="24"/>
      <c r="AB72" s="24"/>
      <c r="AC72" s="24"/>
      <c r="AD72" s="34">
        <f t="shared" si="1"/>
        <v>23436061</v>
      </c>
      <c r="AE72" s="24">
        <f t="shared" si="1"/>
        <v>4929306</v>
      </c>
      <c r="AF72" s="24">
        <f t="shared" si="1"/>
        <v>5104558</v>
      </c>
      <c r="AG72" s="35">
        <f t="shared" si="1"/>
        <v>539523000</v>
      </c>
    </row>
    <row r="73" spans="1:33">
      <c r="A73" s="1" t="s">
        <v>62</v>
      </c>
      <c r="B73" s="34">
        <f t="shared" ref="B73:Y73" si="8">SUM(B17:B20)</f>
        <v>23035998</v>
      </c>
      <c r="C73" s="24">
        <f t="shared" si="8"/>
        <v>4261440</v>
      </c>
      <c r="D73" s="24">
        <f t="shared" si="8"/>
        <v>4350475</v>
      </c>
      <c r="E73" s="24">
        <f t="shared" si="8"/>
        <v>711320806</v>
      </c>
      <c r="F73" s="34">
        <f t="shared" si="8"/>
        <v>12342404</v>
      </c>
      <c r="G73" s="24">
        <f t="shared" si="8"/>
        <v>1834932</v>
      </c>
      <c r="H73" s="24">
        <f t="shared" si="8"/>
        <v>1862316</v>
      </c>
      <c r="I73" s="35">
        <f t="shared" si="8"/>
        <v>244318512</v>
      </c>
      <c r="J73" s="24">
        <f t="shared" si="8"/>
        <v>3550315</v>
      </c>
      <c r="K73" s="24">
        <f t="shared" si="8"/>
        <v>839269</v>
      </c>
      <c r="L73" s="24">
        <f t="shared" si="8"/>
        <v>511035</v>
      </c>
      <c r="M73" s="24">
        <f t="shared" si="8"/>
        <v>66363994</v>
      </c>
      <c r="N73" s="34">
        <f t="shared" si="8"/>
        <v>1359384</v>
      </c>
      <c r="O73" s="24">
        <f t="shared" si="8"/>
        <v>259158</v>
      </c>
      <c r="P73" s="24">
        <f t="shared" si="8"/>
        <v>173100</v>
      </c>
      <c r="Q73" s="35">
        <f t="shared" si="8"/>
        <v>35508797</v>
      </c>
      <c r="R73" s="24">
        <f t="shared" si="8"/>
        <v>11624231</v>
      </c>
      <c r="S73" s="24">
        <f t="shared" si="8"/>
        <v>2135090</v>
      </c>
      <c r="T73" s="24">
        <f t="shared" si="8"/>
        <v>2077112</v>
      </c>
      <c r="U73" s="24">
        <f t="shared" si="8"/>
        <v>205019983</v>
      </c>
      <c r="V73" s="34">
        <f t="shared" si="8"/>
        <v>1771298</v>
      </c>
      <c r="W73" s="24">
        <f t="shared" si="8"/>
        <v>390782</v>
      </c>
      <c r="X73" s="24">
        <f t="shared" si="8"/>
        <v>88261</v>
      </c>
      <c r="Y73" s="35">
        <f t="shared" si="8"/>
        <v>39856431</v>
      </c>
      <c r="Z73" s="24"/>
      <c r="AA73" s="24"/>
      <c r="AB73" s="24"/>
      <c r="AC73" s="24"/>
      <c r="AD73" s="34">
        <f t="shared" si="1"/>
        <v>23963043</v>
      </c>
      <c r="AE73" s="24">
        <f t="shared" si="1"/>
        <v>5196281</v>
      </c>
      <c r="AF73" s="24">
        <f t="shared" si="1"/>
        <v>5415021</v>
      </c>
      <c r="AG73" s="35">
        <f t="shared" si="1"/>
        <v>549629000</v>
      </c>
    </row>
    <row r="74" spans="1:33">
      <c r="A74" s="1" t="s">
        <v>63</v>
      </c>
      <c r="B74" s="34">
        <f t="shared" ref="B74:Y74" si="9">SUM(B18:B21)</f>
        <v>23189898</v>
      </c>
      <c r="C74" s="24">
        <f t="shared" si="9"/>
        <v>4649807</v>
      </c>
      <c r="D74" s="24">
        <f t="shared" si="9"/>
        <v>4768793</v>
      </c>
      <c r="E74" s="24">
        <f t="shared" si="9"/>
        <v>720262650</v>
      </c>
      <c r="F74" s="34">
        <f t="shared" si="9"/>
        <v>12355023</v>
      </c>
      <c r="G74" s="24">
        <f t="shared" si="9"/>
        <v>1855084</v>
      </c>
      <c r="H74" s="24">
        <f t="shared" si="9"/>
        <v>1896372</v>
      </c>
      <c r="I74" s="35">
        <f t="shared" si="9"/>
        <v>245543835</v>
      </c>
      <c r="J74" s="24">
        <f t="shared" si="9"/>
        <v>3611569</v>
      </c>
      <c r="K74" s="24">
        <f t="shared" si="9"/>
        <v>879422</v>
      </c>
      <c r="L74" s="24">
        <f t="shared" si="9"/>
        <v>541015</v>
      </c>
      <c r="M74" s="24">
        <f t="shared" si="9"/>
        <v>67120879</v>
      </c>
      <c r="N74" s="34">
        <f t="shared" si="9"/>
        <v>1346914</v>
      </c>
      <c r="O74" s="24">
        <f t="shared" si="9"/>
        <v>266694</v>
      </c>
      <c r="P74" s="24">
        <f t="shared" si="9"/>
        <v>183686</v>
      </c>
      <c r="Q74" s="35">
        <f t="shared" si="9"/>
        <v>34883510</v>
      </c>
      <c r="R74" s="24">
        <f t="shared" si="9"/>
        <v>11502698</v>
      </c>
      <c r="S74" s="24">
        <f t="shared" si="9"/>
        <v>2082725</v>
      </c>
      <c r="T74" s="24">
        <f t="shared" si="9"/>
        <v>2012069</v>
      </c>
      <c r="U74" s="24">
        <f t="shared" si="9"/>
        <v>206739300</v>
      </c>
      <c r="V74" s="34">
        <f t="shared" si="9"/>
        <v>1780875</v>
      </c>
      <c r="W74" s="24">
        <f t="shared" si="9"/>
        <v>413054</v>
      </c>
      <c r="X74" s="24">
        <f t="shared" si="9"/>
        <v>112959</v>
      </c>
      <c r="Y74" s="35">
        <f t="shared" si="9"/>
        <v>40104464</v>
      </c>
      <c r="Z74" s="24"/>
      <c r="AA74" s="24"/>
      <c r="AB74" s="24"/>
      <c r="AC74" s="24"/>
      <c r="AD74" s="34">
        <f t="shared" si="1"/>
        <v>23942721</v>
      </c>
      <c r="AE74" s="24">
        <f t="shared" si="1"/>
        <v>5305818</v>
      </c>
      <c r="AF74" s="24">
        <f t="shared" si="1"/>
        <v>5524039</v>
      </c>
      <c r="AG74" s="35">
        <f t="shared" si="1"/>
        <v>544496000</v>
      </c>
    </row>
    <row r="75" spans="1:33">
      <c r="A75" s="1" t="s">
        <v>64</v>
      </c>
      <c r="B75" s="34">
        <f t="shared" ref="B75:Y75" si="10">SUM(B19:B22)</f>
        <v>22816952</v>
      </c>
      <c r="C75" s="24">
        <f t="shared" si="10"/>
        <v>4686951</v>
      </c>
      <c r="D75" s="24">
        <f t="shared" si="10"/>
        <v>4815673</v>
      </c>
      <c r="E75" s="24">
        <f t="shared" si="10"/>
        <v>717021048</v>
      </c>
      <c r="F75" s="34">
        <f t="shared" si="10"/>
        <v>12173089</v>
      </c>
      <c r="G75" s="24">
        <f t="shared" si="10"/>
        <v>1794578</v>
      </c>
      <c r="H75" s="24">
        <f t="shared" si="10"/>
        <v>1865085</v>
      </c>
      <c r="I75" s="35">
        <f t="shared" si="10"/>
        <v>241997642</v>
      </c>
      <c r="J75" s="24">
        <f t="shared" si="10"/>
        <v>3564977</v>
      </c>
      <c r="K75" s="24">
        <f t="shared" si="10"/>
        <v>883516</v>
      </c>
      <c r="L75" s="24">
        <f t="shared" si="10"/>
        <v>522411</v>
      </c>
      <c r="M75" s="24">
        <f t="shared" si="10"/>
        <v>65737679</v>
      </c>
      <c r="N75" s="34">
        <f t="shared" si="10"/>
        <v>1288616</v>
      </c>
      <c r="O75" s="24">
        <f t="shared" si="10"/>
        <v>248005</v>
      </c>
      <c r="P75" s="24">
        <f t="shared" si="10"/>
        <v>165235</v>
      </c>
      <c r="Q75" s="35">
        <f t="shared" si="10"/>
        <v>33268452</v>
      </c>
      <c r="R75" s="24">
        <f t="shared" si="10"/>
        <v>11173415</v>
      </c>
      <c r="S75" s="24">
        <f t="shared" si="10"/>
        <v>1938643</v>
      </c>
      <c r="T75" s="24">
        <f t="shared" si="10"/>
        <v>1869200</v>
      </c>
      <c r="U75" s="24">
        <f t="shared" si="10"/>
        <v>205007496</v>
      </c>
      <c r="V75" s="34">
        <f t="shared" si="10"/>
        <v>1730195</v>
      </c>
      <c r="W75" s="24">
        <f t="shared" si="10"/>
        <v>401085</v>
      </c>
      <c r="X75" s="24">
        <f t="shared" si="10"/>
        <v>334699</v>
      </c>
      <c r="Y75" s="35">
        <f t="shared" si="10"/>
        <v>39153995</v>
      </c>
      <c r="Z75" s="24"/>
      <c r="AA75" s="24"/>
      <c r="AB75" s="24"/>
      <c r="AC75" s="24"/>
      <c r="AD75" s="34">
        <f t="shared" si="1"/>
        <v>23360023</v>
      </c>
      <c r="AE75" s="24">
        <f t="shared" si="1"/>
        <v>5122278</v>
      </c>
      <c r="AF75" s="24">
        <f t="shared" si="1"/>
        <v>5487813</v>
      </c>
      <c r="AG75" s="35">
        <f t="shared" si="1"/>
        <v>524992000</v>
      </c>
    </row>
    <row r="76" spans="1:33">
      <c r="A76" s="1" t="s">
        <v>77</v>
      </c>
      <c r="B76" s="34">
        <f t="shared" ref="B76:Y76" si="11">SUM(B20:B23)</f>
        <v>22539514</v>
      </c>
      <c r="C76" s="24">
        <f t="shared" si="11"/>
        <v>4831225</v>
      </c>
      <c r="D76" s="24">
        <f t="shared" si="11"/>
        <v>4954468</v>
      </c>
      <c r="E76" s="24">
        <f t="shared" si="11"/>
        <v>717473965</v>
      </c>
      <c r="F76" s="34">
        <f t="shared" si="11"/>
        <v>11896076</v>
      </c>
      <c r="G76" s="24">
        <f t="shared" si="11"/>
        <v>1737125</v>
      </c>
      <c r="H76" s="24">
        <f t="shared" si="11"/>
        <v>1819886</v>
      </c>
      <c r="I76" s="35">
        <f t="shared" si="11"/>
        <v>237528738.84027031</v>
      </c>
      <c r="J76" s="24">
        <f t="shared" si="11"/>
        <v>3485068</v>
      </c>
      <c r="K76" s="24">
        <f t="shared" si="11"/>
        <v>885057</v>
      </c>
      <c r="L76" s="24">
        <f t="shared" si="11"/>
        <v>512913</v>
      </c>
      <c r="M76" s="24">
        <f t="shared" si="11"/>
        <v>64135065</v>
      </c>
      <c r="N76" s="34">
        <f t="shared" si="11"/>
        <v>1261308.1336300001</v>
      </c>
      <c r="O76" s="24">
        <f t="shared" si="11"/>
        <v>249034.07763000001</v>
      </c>
      <c r="P76" s="24">
        <f t="shared" si="11"/>
        <v>163785.95912000001</v>
      </c>
      <c r="Q76" s="35">
        <f t="shared" si="11"/>
        <v>33078578</v>
      </c>
      <c r="R76" s="24">
        <f t="shared" si="11"/>
        <v>10863743</v>
      </c>
      <c r="S76" s="24">
        <f t="shared" si="11"/>
        <v>1837044</v>
      </c>
      <c r="T76" s="24">
        <f t="shared" si="11"/>
        <v>1752292</v>
      </c>
      <c r="U76" s="24">
        <f t="shared" si="11"/>
        <v>203539584</v>
      </c>
      <c r="V76" s="34">
        <f t="shared" si="11"/>
        <v>1685030</v>
      </c>
      <c r="W76" s="24">
        <f t="shared" si="11"/>
        <v>365457</v>
      </c>
      <c r="X76" s="24">
        <f t="shared" si="11"/>
        <v>360254</v>
      </c>
      <c r="Y76" s="35">
        <f t="shared" si="11"/>
        <v>38671947</v>
      </c>
      <c r="Z76" s="24"/>
      <c r="AA76" s="24"/>
      <c r="AB76" s="24"/>
      <c r="AC76" s="24"/>
      <c r="AD76" s="34">
        <f t="shared" si="1"/>
        <v>22747501</v>
      </c>
      <c r="AE76" s="24">
        <f t="shared" si="1"/>
        <v>5082416</v>
      </c>
      <c r="AF76" s="24">
        <f t="shared" si="1"/>
        <v>5467386</v>
      </c>
      <c r="AG76" s="35">
        <f t="shared" si="1"/>
        <v>510035000</v>
      </c>
    </row>
    <row r="77" spans="1:33">
      <c r="A77" s="1" t="s">
        <v>65</v>
      </c>
      <c r="B77" s="34">
        <f t="shared" ref="B77:Y77" si="12">SUM(B21:B24)</f>
        <v>21765579</v>
      </c>
      <c r="C77" s="24">
        <f t="shared" si="12"/>
        <v>4736517</v>
      </c>
      <c r="D77" s="24">
        <f t="shared" si="12"/>
        <v>4876170</v>
      </c>
      <c r="E77" s="24">
        <f t="shared" si="12"/>
        <v>701762931</v>
      </c>
      <c r="F77" s="34">
        <f t="shared" si="12"/>
        <v>11486251</v>
      </c>
      <c r="G77" s="24">
        <f t="shared" si="12"/>
        <v>1615045</v>
      </c>
      <c r="H77" s="24">
        <f t="shared" si="12"/>
        <v>1782439</v>
      </c>
      <c r="I77" s="35">
        <f t="shared" si="12"/>
        <v>229474771.5702703</v>
      </c>
      <c r="J77" s="24">
        <f t="shared" si="12"/>
        <v>3302304</v>
      </c>
      <c r="K77" s="24">
        <f t="shared" si="12"/>
        <v>838782</v>
      </c>
      <c r="L77" s="24">
        <f t="shared" si="12"/>
        <v>455625</v>
      </c>
      <c r="M77" s="24">
        <f t="shared" si="12"/>
        <v>60956286.857000001</v>
      </c>
      <c r="N77" s="34">
        <f t="shared" si="12"/>
        <v>1235369.1336300001</v>
      </c>
      <c r="O77" s="24">
        <f t="shared" si="12"/>
        <v>257662.07763000001</v>
      </c>
      <c r="P77" s="24">
        <f t="shared" si="12"/>
        <v>164592.95912000001</v>
      </c>
      <c r="Q77" s="35">
        <f t="shared" si="12"/>
        <v>33204991</v>
      </c>
      <c r="R77" s="24">
        <f t="shared" si="12"/>
        <v>10511180</v>
      </c>
      <c r="S77" s="24">
        <f t="shared" si="12"/>
        <v>1710790</v>
      </c>
      <c r="T77" s="24">
        <f t="shared" si="12"/>
        <v>1628202</v>
      </c>
      <c r="U77" s="24">
        <f t="shared" si="12"/>
        <v>199724819</v>
      </c>
      <c r="V77" s="34">
        <f t="shared" si="12"/>
        <v>1603326</v>
      </c>
      <c r="W77" s="24">
        <f t="shared" si="12"/>
        <v>353127</v>
      </c>
      <c r="X77" s="24">
        <f t="shared" si="12"/>
        <v>355768</v>
      </c>
      <c r="Y77" s="35">
        <f t="shared" si="12"/>
        <v>37360860</v>
      </c>
      <c r="Z77" s="24"/>
      <c r="AA77" s="24"/>
      <c r="AB77" s="24"/>
      <c r="AC77" s="24"/>
      <c r="AD77" s="34">
        <f t="shared" si="1"/>
        <v>21805210</v>
      </c>
      <c r="AE77" s="24">
        <f t="shared" si="1"/>
        <v>4842445</v>
      </c>
      <c r="AF77" s="24">
        <f t="shared" si="1"/>
        <v>5199880</v>
      </c>
      <c r="AG77" s="35">
        <f t="shared" si="1"/>
        <v>485035000</v>
      </c>
    </row>
    <row r="78" spans="1:33">
      <c r="A78" s="1" t="s">
        <v>66</v>
      </c>
      <c r="B78" s="34">
        <f t="shared" ref="B78:Y78" si="13">SUM(B22:B25)</f>
        <v>20931267</v>
      </c>
      <c r="C78" s="24">
        <f t="shared" si="13"/>
        <v>4454623</v>
      </c>
      <c r="D78" s="24">
        <f t="shared" si="13"/>
        <v>4584785</v>
      </c>
      <c r="E78" s="24">
        <f t="shared" si="13"/>
        <v>671967893</v>
      </c>
      <c r="F78" s="34">
        <f t="shared" si="13"/>
        <v>11079971</v>
      </c>
      <c r="G78" s="24">
        <f t="shared" si="13"/>
        <v>1527592</v>
      </c>
      <c r="H78" s="24">
        <f t="shared" si="13"/>
        <v>1722654</v>
      </c>
      <c r="I78" s="35">
        <f t="shared" si="13"/>
        <v>221982217.5702703</v>
      </c>
      <c r="J78" s="24">
        <f t="shared" si="13"/>
        <v>3159866</v>
      </c>
      <c r="K78" s="24">
        <f t="shared" si="13"/>
        <v>793853</v>
      </c>
      <c r="L78" s="24">
        <f t="shared" si="13"/>
        <v>399478</v>
      </c>
      <c r="M78" s="24">
        <f t="shared" si="13"/>
        <v>57864648.857000001</v>
      </c>
      <c r="N78" s="34">
        <f t="shared" si="13"/>
        <v>1214951.1336300001</v>
      </c>
      <c r="O78" s="24">
        <f t="shared" si="13"/>
        <v>251775.07763000001</v>
      </c>
      <c r="P78" s="24">
        <f t="shared" si="13"/>
        <v>158094.95912000001</v>
      </c>
      <c r="Q78" s="35">
        <f t="shared" si="13"/>
        <v>32536556</v>
      </c>
      <c r="R78" s="24">
        <f t="shared" si="13"/>
        <v>10364417</v>
      </c>
      <c r="S78" s="24">
        <f t="shared" si="13"/>
        <v>1801350.6</v>
      </c>
      <c r="T78" s="24">
        <f t="shared" si="13"/>
        <v>1724600</v>
      </c>
      <c r="U78" s="24">
        <f t="shared" si="13"/>
        <v>197005359</v>
      </c>
      <c r="V78" s="34">
        <f t="shared" si="13"/>
        <v>1514791</v>
      </c>
      <c r="W78" s="24">
        <f t="shared" si="13"/>
        <v>320227</v>
      </c>
      <c r="X78" s="24">
        <f t="shared" si="13"/>
        <v>316241</v>
      </c>
      <c r="Y78" s="35">
        <f t="shared" si="13"/>
        <v>36039533</v>
      </c>
      <c r="Z78" s="24"/>
      <c r="AA78" s="24"/>
      <c r="AB78" s="24"/>
      <c r="AC78" s="24"/>
      <c r="AD78" s="34">
        <f t="shared" si="1"/>
        <v>21023327</v>
      </c>
      <c r="AE78" s="24">
        <f t="shared" si="1"/>
        <v>4646428</v>
      </c>
      <c r="AF78" s="24">
        <f t="shared" si="1"/>
        <v>5058637</v>
      </c>
      <c r="AG78" s="35">
        <f t="shared" si="1"/>
        <v>463288000</v>
      </c>
    </row>
    <row r="79" spans="1:33">
      <c r="A79" s="1" t="s">
        <v>67</v>
      </c>
      <c r="B79" s="34">
        <f t="shared" ref="B79:Y79" si="14">SUM(B23:B26)</f>
        <v>20148494</v>
      </c>
      <c r="C79" s="24">
        <f t="shared" si="14"/>
        <v>4304630</v>
      </c>
      <c r="D79" s="24">
        <f t="shared" si="14"/>
        <v>4447740</v>
      </c>
      <c r="E79" s="24">
        <f t="shared" si="14"/>
        <v>639723703</v>
      </c>
      <c r="F79" s="34">
        <f t="shared" si="14"/>
        <v>10732350</v>
      </c>
      <c r="G79" s="24">
        <f t="shared" si="14"/>
        <v>1500350</v>
      </c>
      <c r="H79" s="24">
        <f t="shared" si="14"/>
        <v>1685762</v>
      </c>
      <c r="I79" s="35">
        <f t="shared" si="14"/>
        <v>213844768.5702703</v>
      </c>
      <c r="J79" s="24">
        <f t="shared" si="14"/>
        <v>3049697</v>
      </c>
      <c r="K79" s="24">
        <f t="shared" si="14"/>
        <v>740983</v>
      </c>
      <c r="L79" s="24">
        <f t="shared" si="14"/>
        <v>348950</v>
      </c>
      <c r="M79" s="24">
        <f t="shared" si="14"/>
        <v>55827115.857000001</v>
      </c>
      <c r="N79" s="34">
        <f t="shared" si="14"/>
        <v>1215731.6827100001</v>
      </c>
      <c r="O79" s="24">
        <f t="shared" si="14"/>
        <v>272132.81967000006</v>
      </c>
      <c r="P79" s="24">
        <f t="shared" si="14"/>
        <v>178033.84802000003</v>
      </c>
      <c r="Q79" s="35">
        <f t="shared" si="14"/>
        <v>32757112</v>
      </c>
      <c r="R79" s="24">
        <f t="shared" si="14"/>
        <v>10104692</v>
      </c>
      <c r="S79" s="24">
        <f t="shared" si="14"/>
        <v>1777834</v>
      </c>
      <c r="T79" s="24">
        <f t="shared" si="14"/>
        <v>1686271</v>
      </c>
      <c r="U79" s="24">
        <f t="shared" si="14"/>
        <v>192939544</v>
      </c>
      <c r="V79" s="34">
        <f t="shared" si="14"/>
        <v>1437386</v>
      </c>
      <c r="W79" s="24">
        <f t="shared" si="14"/>
        <v>302083</v>
      </c>
      <c r="X79" s="24">
        <f t="shared" si="14"/>
        <v>294637</v>
      </c>
      <c r="Y79" s="35">
        <f t="shared" si="14"/>
        <v>34487172</v>
      </c>
      <c r="Z79" s="24"/>
      <c r="AA79" s="24"/>
      <c r="AB79" s="24"/>
      <c r="AC79" s="24"/>
      <c r="AD79" s="34">
        <f t="shared" si="1"/>
        <v>20367797</v>
      </c>
      <c r="AE79" s="24">
        <f t="shared" si="1"/>
        <v>4491371</v>
      </c>
      <c r="AF79" s="24">
        <f t="shared" si="1"/>
        <v>4866256</v>
      </c>
      <c r="AG79" s="35">
        <f t="shared" si="1"/>
        <v>449904000</v>
      </c>
    </row>
    <row r="80" spans="1:33">
      <c r="A80" s="1" t="s">
        <v>78</v>
      </c>
      <c r="B80" s="34">
        <f t="shared" ref="B80:Y80" si="15">SUM(B24:B27)</f>
        <v>19730275</v>
      </c>
      <c r="C80" s="24">
        <f t="shared" si="15"/>
        <v>4148537.3539100001</v>
      </c>
      <c r="D80" s="24">
        <f t="shared" si="15"/>
        <v>4317921.3539100001</v>
      </c>
      <c r="E80" s="24">
        <f t="shared" si="15"/>
        <v>630371682</v>
      </c>
      <c r="F80" s="34">
        <f t="shared" si="15"/>
        <v>10508253</v>
      </c>
      <c r="G80" s="24">
        <f t="shared" si="15"/>
        <v>1494478</v>
      </c>
      <c r="H80" s="24">
        <f t="shared" si="15"/>
        <v>1687504</v>
      </c>
      <c r="I80" s="35">
        <f t="shared" si="15"/>
        <v>208959914.72999999</v>
      </c>
      <c r="J80" s="24">
        <f t="shared" si="15"/>
        <v>2985496</v>
      </c>
      <c r="K80" s="24">
        <f t="shared" si="15"/>
        <v>690979</v>
      </c>
      <c r="L80" s="24">
        <f t="shared" si="15"/>
        <v>296348</v>
      </c>
      <c r="M80" s="24">
        <f t="shared" si="15"/>
        <v>55235299.857000001</v>
      </c>
      <c r="N80" s="34">
        <f t="shared" si="15"/>
        <v>1196563</v>
      </c>
      <c r="O80" s="24">
        <f t="shared" si="15"/>
        <v>257721</v>
      </c>
      <c r="P80" s="24">
        <f t="shared" si="15"/>
        <v>166611.9</v>
      </c>
      <c r="Q80" s="35">
        <f t="shared" si="15"/>
        <v>32347135</v>
      </c>
      <c r="R80" s="24">
        <f t="shared" si="15"/>
        <v>9915668</v>
      </c>
      <c r="S80" s="24">
        <f t="shared" si="15"/>
        <v>1754595</v>
      </c>
      <c r="T80" s="24">
        <f t="shared" si="15"/>
        <v>1677603</v>
      </c>
      <c r="U80" s="24">
        <f t="shared" si="15"/>
        <v>190348257</v>
      </c>
      <c r="V80" s="34">
        <f t="shared" si="15"/>
        <v>1347192</v>
      </c>
      <c r="W80" s="24">
        <f t="shared" si="15"/>
        <v>292588</v>
      </c>
      <c r="X80" s="24">
        <f t="shared" si="15"/>
        <v>225748</v>
      </c>
      <c r="Y80" s="35">
        <f t="shared" si="15"/>
        <v>32386207</v>
      </c>
      <c r="Z80" s="24"/>
      <c r="AA80" s="24"/>
      <c r="AB80" s="24"/>
      <c r="AC80" s="24"/>
      <c r="AD80" s="34">
        <f t="shared" si="1"/>
        <v>19980112</v>
      </c>
      <c r="AE80" s="24">
        <f t="shared" si="1"/>
        <v>4333780</v>
      </c>
      <c r="AF80" s="24">
        <f t="shared" si="1"/>
        <v>4725073</v>
      </c>
      <c r="AG80" s="35">
        <f t="shared" si="1"/>
        <v>441739000</v>
      </c>
    </row>
    <row r="81" spans="1:33">
      <c r="A81" s="1" t="s">
        <v>68</v>
      </c>
      <c r="B81" s="34">
        <f t="shared" ref="B81:Y81" si="16">SUM(B25:B28)</f>
        <v>19661763</v>
      </c>
      <c r="C81" s="24">
        <f t="shared" si="16"/>
        <v>4068677.4034700003</v>
      </c>
      <c r="D81" s="24">
        <f t="shared" si="16"/>
        <v>4259113.4034700003</v>
      </c>
      <c r="E81" s="24">
        <f t="shared" si="16"/>
        <v>629392749</v>
      </c>
      <c r="F81" s="34">
        <f t="shared" si="16"/>
        <v>10770610</v>
      </c>
      <c r="G81" s="24">
        <f t="shared" si="16"/>
        <v>1590756</v>
      </c>
      <c r="H81" s="24">
        <f t="shared" si="16"/>
        <v>1814782</v>
      </c>
      <c r="I81" s="35">
        <f t="shared" si="16"/>
        <v>213437452</v>
      </c>
      <c r="J81" s="24">
        <f t="shared" si="16"/>
        <v>2986580</v>
      </c>
      <c r="K81" s="24">
        <f t="shared" si="16"/>
        <v>707646</v>
      </c>
      <c r="L81" s="24">
        <f t="shared" si="16"/>
        <v>320586</v>
      </c>
      <c r="M81" s="24">
        <f t="shared" si="16"/>
        <v>56275808</v>
      </c>
      <c r="N81" s="34">
        <f t="shared" si="16"/>
        <v>1200135</v>
      </c>
      <c r="O81" s="24">
        <f t="shared" si="16"/>
        <v>239671</v>
      </c>
      <c r="P81" s="24">
        <f t="shared" si="16"/>
        <v>156818.9</v>
      </c>
      <c r="Q81" s="35">
        <f t="shared" si="16"/>
        <v>32284639</v>
      </c>
      <c r="R81" s="24">
        <f t="shared" si="16"/>
        <v>9888266</v>
      </c>
      <c r="S81" s="24">
        <f t="shared" si="16"/>
        <v>1780821</v>
      </c>
      <c r="T81" s="24">
        <f t="shared" si="16"/>
        <v>1692126</v>
      </c>
      <c r="U81" s="24">
        <f t="shared" si="16"/>
        <v>190473282</v>
      </c>
      <c r="V81" s="34">
        <f t="shared" si="16"/>
        <v>1314277</v>
      </c>
      <c r="W81" s="24">
        <f t="shared" si="16"/>
        <v>274354</v>
      </c>
      <c r="X81" s="24">
        <f t="shared" si="16"/>
        <v>197433</v>
      </c>
      <c r="Y81" s="35">
        <f t="shared" si="16"/>
        <v>31325840</v>
      </c>
      <c r="Z81" s="24"/>
      <c r="AA81" s="24"/>
      <c r="AB81" s="24"/>
      <c r="AC81" s="24"/>
      <c r="AD81" s="34">
        <f t="shared" si="1"/>
        <v>19940431</v>
      </c>
      <c r="AE81" s="24">
        <f t="shared" si="1"/>
        <v>4334851</v>
      </c>
      <c r="AF81" s="24">
        <f t="shared" si="1"/>
        <v>4761454</v>
      </c>
      <c r="AG81" s="35">
        <f t="shared" si="1"/>
        <v>440139000</v>
      </c>
    </row>
    <row r="82" spans="1:33">
      <c r="A82" s="1" t="s">
        <v>69</v>
      </c>
      <c r="B82" s="34">
        <f t="shared" ref="B82:Y82" si="17">SUM(B26:B29)</f>
        <v>20073407</v>
      </c>
      <c r="C82" s="24">
        <f t="shared" si="17"/>
        <v>4092030.4034700003</v>
      </c>
      <c r="D82" s="24">
        <f t="shared" si="17"/>
        <v>4322067.4034700003</v>
      </c>
      <c r="E82" s="24">
        <f t="shared" si="17"/>
        <v>645589116</v>
      </c>
      <c r="F82" s="34">
        <f t="shared" si="17"/>
        <v>11023984</v>
      </c>
      <c r="G82" s="24">
        <f t="shared" si="17"/>
        <v>1641230</v>
      </c>
      <c r="H82" s="24">
        <f t="shared" si="17"/>
        <v>1857408</v>
      </c>
      <c r="I82" s="35">
        <f t="shared" si="17"/>
        <v>215672620</v>
      </c>
      <c r="J82" s="24">
        <f t="shared" si="17"/>
        <v>3049535</v>
      </c>
      <c r="K82" s="24">
        <f t="shared" si="17"/>
        <v>719280</v>
      </c>
      <c r="L82" s="24">
        <f t="shared" si="17"/>
        <v>333794</v>
      </c>
      <c r="M82" s="24">
        <f t="shared" si="17"/>
        <v>58997673</v>
      </c>
      <c r="N82" s="34">
        <f t="shared" si="17"/>
        <v>1229434</v>
      </c>
      <c r="O82" s="24">
        <f t="shared" si="17"/>
        <v>245381</v>
      </c>
      <c r="P82" s="24">
        <f t="shared" si="17"/>
        <v>166253.9</v>
      </c>
      <c r="Q82" s="35">
        <f t="shared" si="17"/>
        <v>33498376</v>
      </c>
      <c r="R82" s="24">
        <f t="shared" si="17"/>
        <v>10042585</v>
      </c>
      <c r="S82" s="24">
        <f t="shared" si="17"/>
        <v>1804739.4</v>
      </c>
      <c r="T82" s="24">
        <f t="shared" si="17"/>
        <v>1714222</v>
      </c>
      <c r="U82" s="24">
        <f t="shared" si="17"/>
        <v>193964404</v>
      </c>
      <c r="V82" s="34">
        <f t="shared" si="17"/>
        <v>1345278</v>
      </c>
      <c r="W82" s="24">
        <f t="shared" si="17"/>
        <v>295903</v>
      </c>
      <c r="X82" s="24">
        <f t="shared" si="17"/>
        <v>218982</v>
      </c>
      <c r="Y82" s="35">
        <f t="shared" si="17"/>
        <v>31964790</v>
      </c>
      <c r="Z82" s="24"/>
      <c r="AA82" s="24"/>
      <c r="AB82" s="24"/>
      <c r="AC82" s="24"/>
      <c r="AD82" s="34">
        <f t="shared" si="1"/>
        <v>20243667</v>
      </c>
      <c r="AE82" s="24">
        <f t="shared" si="1"/>
        <v>4400780</v>
      </c>
      <c r="AF82" s="24">
        <f t="shared" si="1"/>
        <v>4853253</v>
      </c>
      <c r="AG82" s="35">
        <f t="shared" si="1"/>
        <v>449555000</v>
      </c>
    </row>
    <row r="83" spans="1:33">
      <c r="A83" s="1" t="s">
        <v>70</v>
      </c>
      <c r="B83" s="34">
        <f t="shared" ref="B83:Y83" si="18">SUM(B27:B30)</f>
        <v>20725602</v>
      </c>
      <c r="C83" s="24">
        <f t="shared" si="18"/>
        <v>4239336.4034700003</v>
      </c>
      <c r="D83" s="24">
        <f t="shared" si="18"/>
        <v>4517438.4034700003</v>
      </c>
      <c r="E83" s="24">
        <f t="shared" si="18"/>
        <v>667469463</v>
      </c>
      <c r="F83" s="34">
        <f t="shared" si="18"/>
        <v>11252688</v>
      </c>
      <c r="G83" s="24">
        <f t="shared" si="18"/>
        <v>1710730</v>
      </c>
      <c r="H83" s="24">
        <f t="shared" si="18"/>
        <v>1961408</v>
      </c>
      <c r="I83" s="35">
        <f t="shared" si="18"/>
        <v>216774950</v>
      </c>
      <c r="J83" s="24">
        <f t="shared" si="18"/>
        <v>3125565</v>
      </c>
      <c r="K83" s="24">
        <f t="shared" si="18"/>
        <v>730970</v>
      </c>
      <c r="L83" s="24">
        <f t="shared" si="18"/>
        <v>344213</v>
      </c>
      <c r="M83" s="24">
        <f t="shared" si="18"/>
        <v>61423433</v>
      </c>
      <c r="N83" s="34">
        <f t="shared" si="18"/>
        <v>1286378.6423299999</v>
      </c>
      <c r="O83" s="24">
        <f t="shared" si="18"/>
        <v>246625.99235999992</v>
      </c>
      <c r="P83" s="24">
        <f t="shared" si="18"/>
        <v>170269.09116999991</v>
      </c>
      <c r="Q83" s="35">
        <f t="shared" si="18"/>
        <v>35453797</v>
      </c>
      <c r="R83" s="24">
        <f t="shared" si="18"/>
        <v>10226146</v>
      </c>
      <c r="S83" s="24">
        <f t="shared" si="18"/>
        <v>1880795</v>
      </c>
      <c r="T83" s="24">
        <f t="shared" si="18"/>
        <v>1791786</v>
      </c>
      <c r="U83" s="24">
        <f t="shared" si="18"/>
        <v>197182508</v>
      </c>
      <c r="V83" s="34">
        <f t="shared" si="18"/>
        <v>1383143</v>
      </c>
      <c r="W83" s="24">
        <f t="shared" si="18"/>
        <v>313438</v>
      </c>
      <c r="X83" s="24">
        <f t="shared" si="18"/>
        <v>226575</v>
      </c>
      <c r="Y83" s="35">
        <f t="shared" si="18"/>
        <v>33203996</v>
      </c>
      <c r="Z83" s="24"/>
      <c r="AA83" s="24"/>
      <c r="AB83" s="24"/>
      <c r="AC83" s="24"/>
      <c r="AD83" s="34">
        <f t="shared" si="1"/>
        <v>20723886</v>
      </c>
      <c r="AE83" s="24">
        <f t="shared" si="1"/>
        <v>4608860</v>
      </c>
      <c r="AF83" s="24">
        <f t="shared" si="1"/>
        <v>5038013</v>
      </c>
      <c r="AG83" s="35">
        <f t="shared" si="1"/>
        <v>461502000</v>
      </c>
    </row>
    <row r="84" spans="1:33">
      <c r="A84" s="1" t="s">
        <v>79</v>
      </c>
      <c r="B84" s="34">
        <f t="shared" ref="B84:Y84" si="19">SUM(B28:B31)</f>
        <v>20843585</v>
      </c>
      <c r="C84" s="24">
        <f t="shared" si="19"/>
        <v>4251286.0495600002</v>
      </c>
      <c r="D84" s="24">
        <f t="shared" si="19"/>
        <v>4581602.0495600002</v>
      </c>
      <c r="E84" s="24">
        <f t="shared" si="19"/>
        <v>666231980</v>
      </c>
      <c r="F84" s="34">
        <f t="shared" si="19"/>
        <v>11282143</v>
      </c>
      <c r="G84" s="24">
        <f t="shared" si="19"/>
        <v>1647185</v>
      </c>
      <c r="H84" s="24">
        <f t="shared" si="19"/>
        <v>1926568</v>
      </c>
      <c r="I84" s="35">
        <f t="shared" si="19"/>
        <v>216454770</v>
      </c>
      <c r="J84" s="24">
        <f t="shared" si="19"/>
        <v>3162866</v>
      </c>
      <c r="K84" s="24">
        <f t="shared" si="19"/>
        <v>696192</v>
      </c>
      <c r="L84" s="24">
        <f t="shared" si="19"/>
        <v>302359</v>
      </c>
      <c r="M84" s="24">
        <f t="shared" si="19"/>
        <v>62752010</v>
      </c>
      <c r="N84" s="34">
        <f t="shared" si="19"/>
        <v>1315867.19141</v>
      </c>
      <c r="O84" s="24">
        <f t="shared" si="19"/>
        <v>263907.73439999996</v>
      </c>
      <c r="P84" s="24">
        <f t="shared" si="19"/>
        <v>190306.08006999997</v>
      </c>
      <c r="Q84" s="35">
        <f t="shared" si="19"/>
        <v>36308700</v>
      </c>
      <c r="R84" s="24">
        <f t="shared" si="19"/>
        <v>10372323</v>
      </c>
      <c r="S84" s="24">
        <f t="shared" si="19"/>
        <v>1923356</v>
      </c>
      <c r="T84" s="24">
        <f t="shared" si="19"/>
        <v>1859629</v>
      </c>
      <c r="U84" s="24">
        <f t="shared" si="19"/>
        <v>199639471</v>
      </c>
      <c r="V84" s="34">
        <f t="shared" si="19"/>
        <v>1410956</v>
      </c>
      <c r="W84" s="24">
        <f t="shared" si="19"/>
        <v>307145</v>
      </c>
      <c r="X84" s="24">
        <f t="shared" si="19"/>
        <v>218158</v>
      </c>
      <c r="Y84" s="35">
        <f t="shared" si="19"/>
        <v>34289062</v>
      </c>
      <c r="Z84" s="24"/>
      <c r="AA84" s="24"/>
      <c r="AB84" s="24"/>
      <c r="AC84" s="24"/>
      <c r="AD84" s="34">
        <f t="shared" si="1"/>
        <v>20957741</v>
      </c>
      <c r="AE84" s="24">
        <f t="shared" si="1"/>
        <v>4515414</v>
      </c>
      <c r="AF84" s="24">
        <f t="shared" si="1"/>
        <v>5108096</v>
      </c>
      <c r="AG84" s="35">
        <f t="shared" si="1"/>
        <v>462989000</v>
      </c>
    </row>
    <row r="85" spans="1:33">
      <c r="A85" s="1" t="s">
        <v>71</v>
      </c>
      <c r="B85" s="34">
        <f t="shared" ref="B85:B114" si="20">SUM(B29:B32)</f>
        <v>21124725</v>
      </c>
      <c r="C85" s="24">
        <v>11563374</v>
      </c>
      <c r="D85" s="24">
        <f t="shared" ref="D85:H94" si="21">SUM(D29:D32)</f>
        <v>12104167</v>
      </c>
      <c r="E85" s="24">
        <f t="shared" si="21"/>
        <v>665948516.77200007</v>
      </c>
      <c r="F85" s="34">
        <f t="shared" si="21"/>
        <v>11107304</v>
      </c>
      <c r="G85" s="24">
        <f t="shared" si="21"/>
        <v>5278022</v>
      </c>
      <c r="H85" s="24">
        <f t="shared" si="21"/>
        <v>5488025</v>
      </c>
      <c r="I85" s="35">
        <v>208120000</v>
      </c>
      <c r="J85" s="24">
        <f t="shared" ref="J85:Y85" si="22">SUM(J29:J32)</f>
        <v>3185145</v>
      </c>
      <c r="K85" s="24">
        <f t="shared" si="22"/>
        <v>2031333</v>
      </c>
      <c r="L85" s="24">
        <f t="shared" si="22"/>
        <v>1636959</v>
      </c>
      <c r="M85" s="24">
        <f t="shared" si="22"/>
        <v>62708628</v>
      </c>
      <c r="N85" s="34">
        <f t="shared" si="22"/>
        <v>1349787.19141</v>
      </c>
      <c r="O85" s="24">
        <f t="shared" si="22"/>
        <v>736571.73439999996</v>
      </c>
      <c r="P85" s="24">
        <f t="shared" si="22"/>
        <v>664262.08006999991</v>
      </c>
      <c r="Q85" s="35">
        <f t="shared" si="22"/>
        <v>36644364</v>
      </c>
      <c r="R85" s="24">
        <f t="shared" si="22"/>
        <v>10551113</v>
      </c>
      <c r="S85" s="24">
        <f t="shared" si="22"/>
        <v>5325955</v>
      </c>
      <c r="T85" s="24">
        <f t="shared" si="22"/>
        <v>5291341</v>
      </c>
      <c r="U85" s="24">
        <f t="shared" si="22"/>
        <v>201450969</v>
      </c>
      <c r="V85" s="34">
        <f t="shared" si="22"/>
        <v>1439468</v>
      </c>
      <c r="W85" s="24">
        <f t="shared" si="22"/>
        <v>762654</v>
      </c>
      <c r="X85" s="24">
        <f t="shared" si="22"/>
        <v>658451</v>
      </c>
      <c r="Y85" s="35">
        <f t="shared" si="22"/>
        <v>36101568</v>
      </c>
      <c r="Z85" s="24"/>
      <c r="AA85" s="24"/>
      <c r="AB85" s="24"/>
      <c r="AC85" s="24"/>
      <c r="AD85" s="34">
        <f t="shared" si="1"/>
        <v>21239964</v>
      </c>
      <c r="AE85" s="24">
        <f t="shared" si="1"/>
        <v>10132672</v>
      </c>
      <c r="AF85" s="24">
        <f t="shared" si="1"/>
        <v>10964838</v>
      </c>
      <c r="AG85" s="35">
        <f t="shared" si="1"/>
        <v>466721000</v>
      </c>
    </row>
    <row r="86" spans="1:33">
      <c r="A86" s="1" t="s">
        <v>83</v>
      </c>
      <c r="B86" s="34">
        <f t="shared" si="20"/>
        <v>21517373</v>
      </c>
      <c r="C86" s="24">
        <f t="shared" ref="C86:C114" si="23">SUM(C30:C33)</f>
        <v>11914521</v>
      </c>
      <c r="D86" s="24">
        <f t="shared" si="21"/>
        <v>12487221</v>
      </c>
      <c r="E86" s="24">
        <f t="shared" si="21"/>
        <v>671375036.77200007</v>
      </c>
      <c r="F86" s="34">
        <f t="shared" si="21"/>
        <v>11112904</v>
      </c>
      <c r="G86" s="24">
        <f t="shared" si="21"/>
        <v>5525585</v>
      </c>
      <c r="H86" s="24">
        <f t="shared" si="21"/>
        <v>5809863</v>
      </c>
      <c r="I86" s="35">
        <f t="shared" ref="I86:I92" si="24">SUM(I30:I33)</f>
        <v>203892751</v>
      </c>
      <c r="J86" s="24">
        <f t="shared" ref="J86:Y86" si="25">SUM(J30:J33)</f>
        <v>3231797</v>
      </c>
      <c r="K86" s="24">
        <f t="shared" si="25"/>
        <v>2033177</v>
      </c>
      <c r="L86" s="24">
        <f t="shared" si="25"/>
        <v>1642894</v>
      </c>
      <c r="M86" s="24">
        <f t="shared" si="25"/>
        <v>62560434</v>
      </c>
      <c r="N86" s="34">
        <f t="shared" si="25"/>
        <v>1364345.19141</v>
      </c>
      <c r="O86" s="24">
        <f t="shared" si="25"/>
        <v>748705.73439999996</v>
      </c>
      <c r="P86" s="24">
        <f t="shared" si="25"/>
        <v>676431.08006999991</v>
      </c>
      <c r="Q86" s="35">
        <f t="shared" si="25"/>
        <v>36305551</v>
      </c>
      <c r="R86" s="24">
        <f t="shared" si="25"/>
        <v>10693458</v>
      </c>
      <c r="S86" s="24">
        <f t="shared" si="25"/>
        <v>5429395</v>
      </c>
      <c r="T86" s="24">
        <f t="shared" si="25"/>
        <v>5418454</v>
      </c>
      <c r="U86" s="24">
        <f t="shared" si="25"/>
        <v>201852204</v>
      </c>
      <c r="V86" s="34">
        <f t="shared" si="25"/>
        <v>1453770</v>
      </c>
      <c r="W86" s="24">
        <f t="shared" si="25"/>
        <v>764396</v>
      </c>
      <c r="X86" s="24">
        <f t="shared" si="25"/>
        <v>662922</v>
      </c>
      <c r="Y86" s="35">
        <f t="shared" si="25"/>
        <v>37229263</v>
      </c>
      <c r="Z86" s="24"/>
      <c r="AA86" s="24"/>
      <c r="AB86" s="24"/>
      <c r="AC86" s="24"/>
      <c r="AD86" s="34">
        <f t="shared" ref="AD86:AG105" si="26">SUM(AD30:AD33)</f>
        <v>21582828</v>
      </c>
      <c r="AE86" s="24">
        <f t="shared" si="26"/>
        <v>10484937</v>
      </c>
      <c r="AF86" s="24">
        <f t="shared" si="26"/>
        <v>11263500</v>
      </c>
      <c r="AG86" s="35">
        <f t="shared" si="26"/>
        <v>470042000</v>
      </c>
    </row>
    <row r="87" spans="1:33">
      <c r="A87" s="1" t="s">
        <v>84</v>
      </c>
      <c r="B87" s="34">
        <f t="shared" si="20"/>
        <v>22099188</v>
      </c>
      <c r="C87" s="24">
        <f t="shared" si="23"/>
        <v>12289592</v>
      </c>
      <c r="D87" s="24">
        <f t="shared" si="21"/>
        <v>12952247</v>
      </c>
      <c r="E87" s="24">
        <f t="shared" si="21"/>
        <v>684383203.77200007</v>
      </c>
      <c r="F87" s="34">
        <f t="shared" si="21"/>
        <v>11274879</v>
      </c>
      <c r="G87" s="24">
        <f t="shared" si="21"/>
        <v>5792264</v>
      </c>
      <c r="H87" s="24">
        <f t="shared" si="21"/>
        <v>6126955</v>
      </c>
      <c r="I87" s="35">
        <f t="shared" si="24"/>
        <v>204036037</v>
      </c>
      <c r="J87" s="24">
        <f t="shared" ref="J87:Y87" si="27">SUM(J31:J34)</f>
        <v>3329432</v>
      </c>
      <c r="K87" s="24">
        <f t="shared" si="27"/>
        <v>2098983</v>
      </c>
      <c r="L87" s="24">
        <f t="shared" si="27"/>
        <v>1713518</v>
      </c>
      <c r="M87" s="24">
        <f t="shared" si="27"/>
        <v>63722952</v>
      </c>
      <c r="N87" s="34">
        <f t="shared" si="27"/>
        <v>1372405</v>
      </c>
      <c r="O87" s="24">
        <f t="shared" si="27"/>
        <v>762653.13124999998</v>
      </c>
      <c r="P87" s="24">
        <f t="shared" si="27"/>
        <v>691659.26856</v>
      </c>
      <c r="Q87" s="35">
        <f t="shared" si="27"/>
        <v>35554282</v>
      </c>
      <c r="R87" s="24">
        <f t="shared" si="27"/>
        <v>10954710</v>
      </c>
      <c r="S87" s="24">
        <f t="shared" si="27"/>
        <v>5588684</v>
      </c>
      <c r="T87" s="24">
        <f t="shared" si="27"/>
        <v>5625400</v>
      </c>
      <c r="U87" s="24">
        <f t="shared" si="27"/>
        <v>204365803</v>
      </c>
      <c r="V87" s="34">
        <f t="shared" si="27"/>
        <v>1502605</v>
      </c>
      <c r="W87" s="24">
        <f t="shared" si="27"/>
        <v>803144</v>
      </c>
      <c r="X87" s="24">
        <f t="shared" si="27"/>
        <v>698523</v>
      </c>
      <c r="Y87" s="35">
        <f t="shared" si="27"/>
        <v>38734754</v>
      </c>
      <c r="Z87" s="24"/>
      <c r="AA87" s="24"/>
      <c r="AB87" s="24"/>
      <c r="AC87" s="24"/>
      <c r="AD87" s="34">
        <f t="shared" si="26"/>
        <v>22005356</v>
      </c>
      <c r="AE87" s="24">
        <f t="shared" si="26"/>
        <v>10849759</v>
      </c>
      <c r="AF87" s="24">
        <f t="shared" si="26"/>
        <v>11683246</v>
      </c>
      <c r="AG87" s="35">
        <f t="shared" si="26"/>
        <v>472856000</v>
      </c>
    </row>
    <row r="88" spans="1:33">
      <c r="A88" s="1" t="s">
        <v>85</v>
      </c>
      <c r="B88" s="34">
        <f t="shared" si="20"/>
        <v>22867435</v>
      </c>
      <c r="C88" s="24">
        <f t="shared" si="23"/>
        <v>12661555</v>
      </c>
      <c r="D88" s="24">
        <f t="shared" si="21"/>
        <v>13414909</v>
      </c>
      <c r="E88" s="24">
        <f t="shared" si="21"/>
        <v>695737433.77200007</v>
      </c>
      <c r="F88" s="34">
        <f t="shared" si="21"/>
        <v>11658186</v>
      </c>
      <c r="G88" s="24">
        <f t="shared" si="21"/>
        <v>6193389</v>
      </c>
      <c r="H88" s="24">
        <f t="shared" si="21"/>
        <v>6595789</v>
      </c>
      <c r="I88" s="35">
        <f t="shared" si="24"/>
        <v>204857739</v>
      </c>
      <c r="J88" s="24">
        <f t="shared" ref="J88:Y88" si="28">SUM(J32:J35)</f>
        <v>3439624</v>
      </c>
      <c r="K88" s="24">
        <f t="shared" si="28"/>
        <v>2178159</v>
      </c>
      <c r="L88" s="24">
        <f t="shared" si="28"/>
        <v>1792064</v>
      </c>
      <c r="M88" s="24">
        <f t="shared" si="28"/>
        <v>65142256</v>
      </c>
      <c r="N88" s="34">
        <f t="shared" si="28"/>
        <v>1398749</v>
      </c>
      <c r="O88" s="24">
        <f t="shared" si="28"/>
        <v>789105.13124999998</v>
      </c>
      <c r="P88" s="24">
        <f t="shared" si="28"/>
        <v>716884.77682000003</v>
      </c>
      <c r="Q88" s="35">
        <f t="shared" si="28"/>
        <v>34791762</v>
      </c>
      <c r="R88" s="24">
        <f t="shared" si="28"/>
        <v>11231746</v>
      </c>
      <c r="S88" s="24">
        <f t="shared" si="28"/>
        <v>5780546</v>
      </c>
      <c r="T88" s="24">
        <f t="shared" si="28"/>
        <v>5821309</v>
      </c>
      <c r="U88" s="24">
        <f t="shared" si="28"/>
        <v>206561396</v>
      </c>
      <c r="V88" s="34">
        <f t="shared" si="28"/>
        <v>1553535</v>
      </c>
      <c r="W88" s="24">
        <f t="shared" si="28"/>
        <v>844642</v>
      </c>
      <c r="X88" s="24">
        <f t="shared" si="28"/>
        <v>739235</v>
      </c>
      <c r="Y88" s="35">
        <f t="shared" si="28"/>
        <v>39118536</v>
      </c>
      <c r="Z88" s="24"/>
      <c r="AA88" s="24"/>
      <c r="AB88" s="24"/>
      <c r="AC88" s="24"/>
      <c r="AD88" s="34">
        <f t="shared" si="26"/>
        <v>22525437</v>
      </c>
      <c r="AE88" s="24">
        <f t="shared" si="26"/>
        <v>11418929</v>
      </c>
      <c r="AF88" s="24">
        <f t="shared" si="26"/>
        <v>12208429</v>
      </c>
      <c r="AG88" s="35">
        <f t="shared" si="26"/>
        <v>477199000</v>
      </c>
    </row>
    <row r="89" spans="1:33">
      <c r="A89" s="1" t="s">
        <v>86</v>
      </c>
      <c r="B89" s="34">
        <f t="shared" si="20"/>
        <v>23413147</v>
      </c>
      <c r="C89" s="24">
        <f t="shared" si="23"/>
        <v>5698769</v>
      </c>
      <c r="D89" s="24">
        <f t="shared" si="21"/>
        <v>6442334</v>
      </c>
      <c r="E89" s="24">
        <f t="shared" si="21"/>
        <v>701810669</v>
      </c>
      <c r="F89" s="34">
        <f t="shared" si="21"/>
        <v>11933560</v>
      </c>
      <c r="G89" s="24">
        <f t="shared" si="21"/>
        <v>2939460</v>
      </c>
      <c r="H89" s="24">
        <f t="shared" si="21"/>
        <v>3354750</v>
      </c>
      <c r="I89" s="35">
        <f t="shared" si="24"/>
        <v>205713109</v>
      </c>
      <c r="J89" s="24">
        <f t="shared" ref="J89:Y89" si="29">SUM(J33:J36)</f>
        <v>3532725</v>
      </c>
      <c r="K89" s="24">
        <f t="shared" si="29"/>
        <v>818273</v>
      </c>
      <c r="L89" s="24">
        <f t="shared" si="29"/>
        <v>435340</v>
      </c>
      <c r="M89" s="24">
        <f t="shared" si="29"/>
        <v>66698818</v>
      </c>
      <c r="N89" s="34">
        <f t="shared" si="29"/>
        <v>1414605</v>
      </c>
      <c r="O89" s="24">
        <f t="shared" si="29"/>
        <v>363198.13124999998</v>
      </c>
      <c r="P89" s="24">
        <f t="shared" si="29"/>
        <v>286218.77681999997</v>
      </c>
      <c r="Q89" s="35">
        <f t="shared" si="29"/>
        <v>34352821</v>
      </c>
      <c r="R89" s="24">
        <f t="shared" si="29"/>
        <v>11457713</v>
      </c>
      <c r="S89" s="24">
        <f t="shared" si="29"/>
        <v>2550802</v>
      </c>
      <c r="T89" s="24">
        <f t="shared" si="29"/>
        <v>2772668</v>
      </c>
      <c r="U89" s="24">
        <f t="shared" si="29"/>
        <v>207369431</v>
      </c>
      <c r="V89" s="34">
        <f t="shared" si="29"/>
        <v>1594629</v>
      </c>
      <c r="W89" s="24">
        <f t="shared" si="29"/>
        <v>448031</v>
      </c>
      <c r="X89" s="24">
        <f t="shared" si="29"/>
        <v>378932</v>
      </c>
      <c r="Y89" s="35">
        <f t="shared" si="29"/>
        <v>39395642</v>
      </c>
      <c r="Z89" s="24"/>
      <c r="AA89" s="24"/>
      <c r="AB89" s="24"/>
      <c r="AC89" s="24"/>
      <c r="AD89" s="34">
        <f t="shared" si="26"/>
        <v>22831419</v>
      </c>
      <c r="AE89" s="24">
        <f t="shared" si="26"/>
        <v>6268246</v>
      </c>
      <c r="AF89" s="24">
        <f t="shared" si="26"/>
        <v>6874602</v>
      </c>
      <c r="AG89" s="35">
        <f t="shared" si="26"/>
        <v>473957000</v>
      </c>
    </row>
    <row r="90" spans="1:33">
      <c r="A90" s="1" t="s">
        <v>94</v>
      </c>
      <c r="B90" s="34">
        <f t="shared" si="20"/>
        <v>23542727</v>
      </c>
      <c r="C90" s="24">
        <f t="shared" si="23"/>
        <v>5667535</v>
      </c>
      <c r="D90" s="24">
        <f t="shared" si="21"/>
        <v>6629797</v>
      </c>
      <c r="E90" s="24">
        <f t="shared" si="21"/>
        <v>690076003</v>
      </c>
      <c r="F90" s="34">
        <f t="shared" si="21"/>
        <v>12067467</v>
      </c>
      <c r="G90" s="24">
        <f t="shared" si="21"/>
        <v>3044027</v>
      </c>
      <c r="H90" s="24">
        <f t="shared" si="21"/>
        <v>3429827</v>
      </c>
      <c r="I90" s="35">
        <f t="shared" si="24"/>
        <v>207147103</v>
      </c>
      <c r="J90" s="24">
        <f t="shared" ref="J90:Y90" si="30">SUM(J34:J37)</f>
        <v>3582989</v>
      </c>
      <c r="K90" s="24">
        <f t="shared" si="30"/>
        <v>814720</v>
      </c>
      <c r="L90" s="24">
        <f t="shared" si="30"/>
        <v>420137</v>
      </c>
      <c r="M90" s="24">
        <f t="shared" si="30"/>
        <v>66825155</v>
      </c>
      <c r="N90" s="34">
        <f t="shared" si="30"/>
        <v>1443647</v>
      </c>
      <c r="O90" s="24">
        <f t="shared" si="30"/>
        <v>334849.13124999998</v>
      </c>
      <c r="P90" s="24">
        <f t="shared" si="30"/>
        <v>253672.77681999997</v>
      </c>
      <c r="Q90" s="35">
        <f t="shared" si="30"/>
        <v>34722373</v>
      </c>
      <c r="R90" s="24">
        <f t="shared" si="30"/>
        <v>11580355</v>
      </c>
      <c r="S90" s="24">
        <f t="shared" si="30"/>
        <v>2604203</v>
      </c>
      <c r="T90" s="24">
        <f t="shared" si="30"/>
        <v>2872122</v>
      </c>
      <c r="U90" s="24">
        <f t="shared" si="30"/>
        <v>206647989</v>
      </c>
      <c r="V90" s="34">
        <f t="shared" si="30"/>
        <v>1584319</v>
      </c>
      <c r="W90" s="24">
        <f t="shared" si="30"/>
        <v>434690</v>
      </c>
      <c r="X90" s="24">
        <f t="shared" si="30"/>
        <v>366949</v>
      </c>
      <c r="Y90" s="35">
        <f t="shared" si="30"/>
        <v>38025024</v>
      </c>
      <c r="Z90" s="24"/>
      <c r="AA90" s="24"/>
      <c r="AB90" s="24"/>
      <c r="AC90" s="24"/>
      <c r="AD90" s="34">
        <f t="shared" si="26"/>
        <v>22740865</v>
      </c>
      <c r="AE90" s="24">
        <f t="shared" si="26"/>
        <v>6323320.4730000002</v>
      </c>
      <c r="AF90" s="24">
        <f t="shared" si="26"/>
        <v>6912946</v>
      </c>
      <c r="AG90" s="35">
        <f t="shared" si="26"/>
        <v>463207000</v>
      </c>
    </row>
    <row r="91" spans="1:33">
      <c r="A91" s="1" t="s">
        <v>95</v>
      </c>
      <c r="B91" s="34">
        <f t="shared" si="20"/>
        <v>23566462</v>
      </c>
      <c r="C91" s="24">
        <f t="shared" si="23"/>
        <v>5675261</v>
      </c>
      <c r="D91" s="24">
        <f t="shared" si="21"/>
        <v>6726111</v>
      </c>
      <c r="E91" s="24">
        <f t="shared" si="21"/>
        <v>686144422</v>
      </c>
      <c r="F91" s="34">
        <f t="shared" si="21"/>
        <v>12021382</v>
      </c>
      <c r="G91" s="24">
        <f t="shared" si="21"/>
        <v>3008570</v>
      </c>
      <c r="H91" s="24">
        <f t="shared" si="21"/>
        <v>3460708</v>
      </c>
      <c r="I91" s="35">
        <f t="shared" si="24"/>
        <v>205228888</v>
      </c>
      <c r="J91" s="24">
        <f t="shared" ref="J91:Y91" si="31">SUM(J35:J38)</f>
        <v>3607901</v>
      </c>
      <c r="K91" s="24">
        <f t="shared" si="31"/>
        <v>835645</v>
      </c>
      <c r="L91" s="24">
        <f t="shared" si="31"/>
        <v>428558</v>
      </c>
      <c r="M91" s="24">
        <f t="shared" si="31"/>
        <v>67491259</v>
      </c>
      <c r="N91" s="34">
        <f t="shared" si="31"/>
        <v>1456544</v>
      </c>
      <c r="O91" s="24">
        <f t="shared" si="31"/>
        <v>313931</v>
      </c>
      <c r="P91" s="24">
        <f t="shared" si="31"/>
        <v>228153.40826</v>
      </c>
      <c r="Q91" s="35">
        <f t="shared" si="31"/>
        <v>34601498</v>
      </c>
      <c r="R91" s="24">
        <f t="shared" si="31"/>
        <v>11607207</v>
      </c>
      <c r="S91" s="24">
        <f t="shared" si="31"/>
        <v>2661830</v>
      </c>
      <c r="T91" s="24">
        <f t="shared" si="31"/>
        <v>2940991.102</v>
      </c>
      <c r="U91" s="24">
        <f t="shared" si="31"/>
        <v>204738828</v>
      </c>
      <c r="V91" s="34">
        <f t="shared" si="31"/>
        <v>1581591</v>
      </c>
      <c r="W91" s="24">
        <f t="shared" si="31"/>
        <v>421824</v>
      </c>
      <c r="X91" s="24">
        <f t="shared" si="31"/>
        <v>373788</v>
      </c>
      <c r="Y91" s="35">
        <f t="shared" si="31"/>
        <v>37123600</v>
      </c>
      <c r="Z91" s="24"/>
      <c r="AA91" s="24"/>
      <c r="AB91" s="24"/>
      <c r="AC91" s="24"/>
      <c r="AD91" s="34">
        <f t="shared" si="26"/>
        <v>22664169</v>
      </c>
      <c r="AE91" s="24">
        <f t="shared" si="26"/>
        <v>6461725.807</v>
      </c>
      <c r="AF91" s="24">
        <f t="shared" si="26"/>
        <v>6916962</v>
      </c>
      <c r="AG91" s="35">
        <f t="shared" si="26"/>
        <v>454315000</v>
      </c>
    </row>
    <row r="92" spans="1:33">
      <c r="A92" s="1" t="s">
        <v>96</v>
      </c>
      <c r="B92" s="34">
        <f t="shared" si="20"/>
        <v>23472914</v>
      </c>
      <c r="C92" s="24">
        <f t="shared" si="23"/>
        <v>5723993</v>
      </c>
      <c r="D92" s="24">
        <f t="shared" si="21"/>
        <v>6842189</v>
      </c>
      <c r="E92" s="24">
        <f t="shared" si="21"/>
        <v>678491832</v>
      </c>
      <c r="F92" s="34">
        <f t="shared" si="21"/>
        <v>11869551</v>
      </c>
      <c r="G92" s="24">
        <f t="shared" si="21"/>
        <v>2955934</v>
      </c>
      <c r="H92" s="24">
        <f t="shared" si="21"/>
        <v>3419997</v>
      </c>
      <c r="I92" s="35">
        <f t="shared" si="24"/>
        <v>203015806</v>
      </c>
      <c r="J92" s="24">
        <f t="shared" ref="J92:Y92" si="32">SUM(J36:J39)</f>
        <v>3582928</v>
      </c>
      <c r="K92" s="24">
        <f t="shared" si="32"/>
        <v>820519</v>
      </c>
      <c r="L92" s="24">
        <f t="shared" si="32"/>
        <v>422179</v>
      </c>
      <c r="M92" s="24">
        <f t="shared" si="32"/>
        <v>65980151</v>
      </c>
      <c r="N92" s="34">
        <f t="shared" si="32"/>
        <v>1469885</v>
      </c>
      <c r="O92" s="24">
        <f t="shared" si="32"/>
        <v>309953</v>
      </c>
      <c r="P92" s="24">
        <f t="shared" si="32"/>
        <v>221832.9</v>
      </c>
      <c r="Q92" s="35">
        <f t="shared" si="32"/>
        <v>35129679</v>
      </c>
      <c r="R92" s="24">
        <f t="shared" si="32"/>
        <v>11501112</v>
      </c>
      <c r="S92" s="24">
        <f t="shared" si="32"/>
        <v>2632606</v>
      </c>
      <c r="T92" s="24">
        <f t="shared" si="32"/>
        <v>2902948</v>
      </c>
      <c r="U92" s="24">
        <f t="shared" si="32"/>
        <v>199519049</v>
      </c>
      <c r="V92" s="34">
        <f t="shared" si="32"/>
        <v>1589183</v>
      </c>
      <c r="W92" s="24">
        <f t="shared" si="32"/>
        <v>436203</v>
      </c>
      <c r="X92" s="24">
        <f t="shared" si="32"/>
        <v>394575</v>
      </c>
      <c r="Y92" s="35">
        <f t="shared" si="32"/>
        <v>37953146</v>
      </c>
      <c r="Z92" s="24"/>
      <c r="AA92" s="24"/>
      <c r="AB92" s="24"/>
      <c r="AC92" s="24"/>
      <c r="AD92" s="34">
        <f t="shared" si="26"/>
        <v>22252323</v>
      </c>
      <c r="AE92" s="24">
        <f t="shared" si="26"/>
        <v>6458596.807</v>
      </c>
      <c r="AF92" s="24">
        <f t="shared" si="26"/>
        <v>6785559</v>
      </c>
      <c r="AG92" s="35">
        <f t="shared" si="26"/>
        <v>439109000</v>
      </c>
    </row>
    <row r="93" spans="1:33">
      <c r="A93" s="1" t="s">
        <v>97</v>
      </c>
      <c r="B93" s="34">
        <f t="shared" si="20"/>
        <v>23132863</v>
      </c>
      <c r="C93" s="24">
        <f t="shared" si="23"/>
        <v>5756579</v>
      </c>
      <c r="D93" s="24">
        <f t="shared" si="21"/>
        <v>6912478</v>
      </c>
      <c r="E93" s="24">
        <f t="shared" si="21"/>
        <v>665033180</v>
      </c>
      <c r="F93" s="34">
        <f t="shared" si="21"/>
        <v>11612474</v>
      </c>
      <c r="G93" s="24">
        <f t="shared" si="21"/>
        <v>2837857</v>
      </c>
      <c r="H93" s="24">
        <f t="shared" si="21"/>
        <v>3313662</v>
      </c>
      <c r="I93" s="35">
        <v>199211391</v>
      </c>
      <c r="J93" s="24">
        <f t="shared" ref="J93:Y93" si="33">SUM(J37:J40)</f>
        <v>3484333</v>
      </c>
      <c r="K93" s="24">
        <f t="shared" si="33"/>
        <v>849107</v>
      </c>
      <c r="L93" s="24">
        <f t="shared" si="33"/>
        <v>429394</v>
      </c>
      <c r="M93" s="24">
        <f t="shared" si="33"/>
        <v>62606895</v>
      </c>
      <c r="N93" s="34">
        <f t="shared" si="33"/>
        <v>1484821</v>
      </c>
      <c r="O93" s="24">
        <f t="shared" si="33"/>
        <v>283118</v>
      </c>
      <c r="P93" s="24">
        <f t="shared" si="33"/>
        <v>196605.9</v>
      </c>
      <c r="Q93" s="35">
        <f t="shared" si="33"/>
        <v>35585764</v>
      </c>
      <c r="R93" s="24">
        <f t="shared" si="33"/>
        <v>11296064</v>
      </c>
      <c r="S93" s="24">
        <f t="shared" si="33"/>
        <v>2688331.2889999999</v>
      </c>
      <c r="T93" s="24">
        <f t="shared" si="33"/>
        <v>2817737.2889999999</v>
      </c>
      <c r="U93" s="24">
        <f t="shared" si="33"/>
        <v>194044925</v>
      </c>
      <c r="V93" s="34">
        <f t="shared" si="33"/>
        <v>1581634</v>
      </c>
      <c r="W93" s="24">
        <f t="shared" si="33"/>
        <v>406108</v>
      </c>
      <c r="X93" s="24">
        <f t="shared" si="33"/>
        <v>349579</v>
      </c>
      <c r="Y93" s="35">
        <f t="shared" si="33"/>
        <v>37543600</v>
      </c>
      <c r="Z93" s="24"/>
      <c r="AA93" s="24"/>
      <c r="AB93" s="24"/>
      <c r="AC93" s="24"/>
      <c r="AD93" s="34">
        <f t="shared" si="26"/>
        <v>21707798</v>
      </c>
      <c r="AE93" s="24">
        <f t="shared" si="26"/>
        <v>6326141</v>
      </c>
      <c r="AF93" s="24">
        <f t="shared" si="26"/>
        <v>6573957</v>
      </c>
      <c r="AG93" s="35">
        <f t="shared" si="26"/>
        <v>423433000</v>
      </c>
    </row>
    <row r="94" spans="1:33">
      <c r="A94" s="1" t="s">
        <v>101</v>
      </c>
      <c r="B94" s="34">
        <f t="shared" si="20"/>
        <v>22809824</v>
      </c>
      <c r="C94" s="24">
        <f t="shared" si="23"/>
        <v>5841380</v>
      </c>
      <c r="D94" s="24">
        <f t="shared" si="21"/>
        <v>6829919</v>
      </c>
      <c r="E94" s="24">
        <f t="shared" si="21"/>
        <v>660031881</v>
      </c>
      <c r="F94" s="34">
        <f t="shared" si="21"/>
        <v>11460057</v>
      </c>
      <c r="G94" s="24">
        <f t="shared" si="21"/>
        <v>2840053</v>
      </c>
      <c r="H94" s="24">
        <f t="shared" si="21"/>
        <v>3297802</v>
      </c>
      <c r="I94" s="35">
        <f t="shared" ref="I94:I114" si="34">SUM(I38:I41)</f>
        <v>199518671</v>
      </c>
      <c r="J94" s="24">
        <f t="shared" ref="J94:Y94" si="35">SUM(J38:J41)</f>
        <v>3447797</v>
      </c>
      <c r="K94" s="24">
        <f t="shared" si="35"/>
        <v>970344</v>
      </c>
      <c r="L94" s="24">
        <f t="shared" si="35"/>
        <v>560203</v>
      </c>
      <c r="M94" s="24">
        <f t="shared" si="35"/>
        <v>61789233</v>
      </c>
      <c r="N94" s="34">
        <f t="shared" si="35"/>
        <v>1500129</v>
      </c>
      <c r="O94" s="24">
        <f t="shared" si="35"/>
        <v>345673</v>
      </c>
      <c r="P94" s="24">
        <f t="shared" si="35"/>
        <v>261350.9</v>
      </c>
      <c r="Q94" s="35">
        <f t="shared" si="35"/>
        <v>35585068</v>
      </c>
      <c r="R94" s="24">
        <f t="shared" si="35"/>
        <v>11081673</v>
      </c>
      <c r="S94" s="24">
        <f t="shared" si="35"/>
        <v>2449244.2889999999</v>
      </c>
      <c r="T94" s="24">
        <f t="shared" si="35"/>
        <v>2551334.2889999999</v>
      </c>
      <c r="U94" s="24">
        <f t="shared" si="35"/>
        <v>188564791</v>
      </c>
      <c r="V94" s="34">
        <f t="shared" si="35"/>
        <v>1625803</v>
      </c>
      <c r="W94" s="24">
        <f t="shared" si="35"/>
        <v>456071</v>
      </c>
      <c r="X94" s="24">
        <f t="shared" si="35"/>
        <v>403480</v>
      </c>
      <c r="Y94" s="35">
        <f t="shared" si="35"/>
        <v>39192842</v>
      </c>
      <c r="Z94" s="24"/>
      <c r="AA94" s="24"/>
      <c r="AB94" s="24"/>
      <c r="AC94" s="24"/>
      <c r="AD94" s="34">
        <f t="shared" si="26"/>
        <v>21552238</v>
      </c>
      <c r="AE94" s="24">
        <f t="shared" si="26"/>
        <v>6450599.5270000007</v>
      </c>
      <c r="AF94" s="24">
        <f t="shared" si="26"/>
        <v>6681387</v>
      </c>
      <c r="AG94" s="35">
        <f t="shared" si="26"/>
        <v>416466000</v>
      </c>
    </row>
    <row r="95" spans="1:33">
      <c r="A95" s="1" t="s">
        <v>98</v>
      </c>
      <c r="B95" s="34">
        <f t="shared" si="20"/>
        <v>21555441</v>
      </c>
      <c r="C95" s="24">
        <f t="shared" si="23"/>
        <v>5677051</v>
      </c>
      <c r="D95" s="24">
        <f t="shared" ref="D95:H104" si="36">SUM(D39:D42)</f>
        <v>6515800</v>
      </c>
      <c r="E95" s="24">
        <f t="shared" si="36"/>
        <v>619268526</v>
      </c>
      <c r="F95" s="34">
        <f t="shared" si="36"/>
        <v>10673317</v>
      </c>
      <c r="G95" s="24">
        <f t="shared" si="36"/>
        <v>2559901</v>
      </c>
      <c r="H95" s="24">
        <f t="shared" si="36"/>
        <v>2952801</v>
      </c>
      <c r="I95" s="35">
        <f t="shared" si="34"/>
        <v>188503311</v>
      </c>
      <c r="J95" s="24">
        <f t="shared" ref="J95:Y95" si="37">SUM(J39:J42)</f>
        <v>3179388</v>
      </c>
      <c r="K95" s="24">
        <f t="shared" si="37"/>
        <v>817208</v>
      </c>
      <c r="L95" s="24">
        <f t="shared" si="37"/>
        <v>413726</v>
      </c>
      <c r="M95" s="24">
        <f t="shared" si="37"/>
        <v>55376547</v>
      </c>
      <c r="N95" s="34">
        <f t="shared" si="37"/>
        <v>1440272</v>
      </c>
      <c r="O95" s="24">
        <f t="shared" si="37"/>
        <v>358391</v>
      </c>
      <c r="P95" s="24">
        <f t="shared" si="37"/>
        <v>274283.90000000002</v>
      </c>
      <c r="Q95" s="35">
        <f t="shared" si="37"/>
        <v>34132123</v>
      </c>
      <c r="R95" s="24">
        <f t="shared" si="37"/>
        <v>10241242</v>
      </c>
      <c r="S95" s="24">
        <f t="shared" si="37"/>
        <v>2134044.2889999999</v>
      </c>
      <c r="T95" s="24">
        <f t="shared" si="37"/>
        <v>2153985.1869999999</v>
      </c>
      <c r="U95" s="24">
        <f t="shared" si="37"/>
        <v>173553276</v>
      </c>
      <c r="V95" s="34">
        <f t="shared" si="37"/>
        <v>1513294</v>
      </c>
      <c r="W95" s="24">
        <f t="shared" si="37"/>
        <v>407559</v>
      </c>
      <c r="X95" s="24">
        <f t="shared" si="37"/>
        <v>355226</v>
      </c>
      <c r="Y95" s="35">
        <f t="shared" si="37"/>
        <v>36823708</v>
      </c>
      <c r="Z95" s="24"/>
      <c r="AA95" s="24"/>
      <c r="AB95" s="24"/>
      <c r="AC95" s="24"/>
      <c r="AD95" s="34">
        <f t="shared" si="26"/>
        <v>20200599</v>
      </c>
      <c r="AE95" s="24">
        <f t="shared" si="26"/>
        <v>5972790.7853199998</v>
      </c>
      <c r="AF95" s="24">
        <f t="shared" si="26"/>
        <v>6293079</v>
      </c>
      <c r="AG95" s="35">
        <f t="shared" si="26"/>
        <v>393636000</v>
      </c>
    </row>
    <row r="96" spans="1:33">
      <c r="A96" s="1" t="s">
        <v>99</v>
      </c>
      <c r="B96" s="34">
        <f t="shared" si="20"/>
        <v>20728055</v>
      </c>
      <c r="C96" s="24">
        <f t="shared" si="23"/>
        <v>5587354</v>
      </c>
      <c r="D96" s="24">
        <f t="shared" si="36"/>
        <v>6300490</v>
      </c>
      <c r="E96" s="24">
        <f t="shared" si="36"/>
        <v>594488488</v>
      </c>
      <c r="F96" s="34">
        <f t="shared" si="36"/>
        <v>10354155</v>
      </c>
      <c r="G96" s="24">
        <f t="shared" si="36"/>
        <v>2554495</v>
      </c>
      <c r="H96" s="24">
        <f t="shared" si="36"/>
        <v>2867502</v>
      </c>
      <c r="I96" s="35">
        <f t="shared" si="34"/>
        <v>184098324</v>
      </c>
      <c r="J96" s="24">
        <f t="shared" ref="J96:Y96" si="38">SUM(J40:J43)</f>
        <v>3053457</v>
      </c>
      <c r="K96" s="24">
        <f t="shared" si="38"/>
        <v>801325</v>
      </c>
      <c r="L96" s="24">
        <f t="shared" si="38"/>
        <v>391422</v>
      </c>
      <c r="M96" s="24">
        <f t="shared" si="38"/>
        <v>52742124</v>
      </c>
      <c r="N96" s="34">
        <f t="shared" si="38"/>
        <v>1396226</v>
      </c>
      <c r="O96" s="24">
        <f t="shared" si="38"/>
        <v>356144</v>
      </c>
      <c r="P96" s="24">
        <f t="shared" si="38"/>
        <v>271307.90000000002</v>
      </c>
      <c r="Q96" s="35">
        <f t="shared" si="38"/>
        <v>32955543</v>
      </c>
      <c r="R96" s="24">
        <f t="shared" si="38"/>
        <v>9906255</v>
      </c>
      <c r="S96" s="24">
        <f t="shared" si="38"/>
        <v>2054481.2889999999</v>
      </c>
      <c r="T96" s="24">
        <f t="shared" si="38"/>
        <v>1990861.2889999999</v>
      </c>
      <c r="U96" s="24">
        <f t="shared" si="38"/>
        <v>166802645</v>
      </c>
      <c r="V96" s="34">
        <f t="shared" si="38"/>
        <v>1430344</v>
      </c>
      <c r="W96" s="24">
        <f t="shared" si="38"/>
        <v>372177</v>
      </c>
      <c r="X96" s="24">
        <f t="shared" si="38"/>
        <v>318197</v>
      </c>
      <c r="Y96" s="35">
        <f t="shared" si="38"/>
        <v>34684893</v>
      </c>
      <c r="Z96" s="24"/>
      <c r="AA96" s="24"/>
      <c r="AB96" s="24"/>
      <c r="AC96" s="24"/>
      <c r="AD96" s="34">
        <f t="shared" si="26"/>
        <v>19603348</v>
      </c>
      <c r="AE96" s="24">
        <f t="shared" si="26"/>
        <v>5820965.7853199998</v>
      </c>
      <c r="AF96" s="24">
        <f t="shared" si="26"/>
        <v>6138279</v>
      </c>
      <c r="AG96" s="35">
        <f t="shared" si="26"/>
        <v>383442000</v>
      </c>
    </row>
    <row r="97" spans="1:33">
      <c r="A97" s="1" t="s">
        <v>100</v>
      </c>
      <c r="B97" s="34">
        <f t="shared" si="20"/>
        <v>20556521</v>
      </c>
      <c r="C97" s="24">
        <f t="shared" si="23"/>
        <v>5680414</v>
      </c>
      <c r="D97" s="24">
        <f t="shared" si="36"/>
        <v>6262746</v>
      </c>
      <c r="E97" s="24">
        <f t="shared" si="36"/>
        <v>588919405</v>
      </c>
      <c r="F97" s="34">
        <f t="shared" si="36"/>
        <v>10301032</v>
      </c>
      <c r="G97" s="24">
        <f t="shared" si="36"/>
        <v>2612635</v>
      </c>
      <c r="H97" s="24">
        <f t="shared" si="36"/>
        <v>2871091</v>
      </c>
      <c r="I97" s="35">
        <f t="shared" si="34"/>
        <v>183814759</v>
      </c>
      <c r="J97" s="24">
        <f t="shared" ref="J97:Y97" si="39">SUM(J41:J44)</f>
        <v>3091304</v>
      </c>
      <c r="K97" s="24">
        <f t="shared" si="39"/>
        <v>847858</v>
      </c>
      <c r="L97" s="24">
        <f t="shared" si="39"/>
        <v>446445</v>
      </c>
      <c r="M97" s="24">
        <f t="shared" si="39"/>
        <v>54164665</v>
      </c>
      <c r="N97" s="34">
        <f t="shared" si="39"/>
        <v>1381011</v>
      </c>
      <c r="O97" s="24">
        <f t="shared" si="39"/>
        <v>370183</v>
      </c>
      <c r="P97" s="24">
        <f t="shared" si="39"/>
        <v>286288.90000000002</v>
      </c>
      <c r="Q97" s="35">
        <f t="shared" si="39"/>
        <v>32754134</v>
      </c>
      <c r="R97" s="24">
        <f t="shared" si="39"/>
        <v>9789341</v>
      </c>
      <c r="S97" s="24">
        <f t="shared" si="39"/>
        <v>2058594.7119999998</v>
      </c>
      <c r="T97" s="24">
        <f t="shared" si="39"/>
        <v>1896733.7120000001</v>
      </c>
      <c r="U97" s="24">
        <f t="shared" si="39"/>
        <v>164056102</v>
      </c>
      <c r="V97" s="34">
        <f t="shared" si="39"/>
        <v>1396550</v>
      </c>
      <c r="W97" s="24">
        <f t="shared" si="39"/>
        <v>390760</v>
      </c>
      <c r="X97" s="24">
        <f t="shared" si="39"/>
        <v>339558</v>
      </c>
      <c r="Y97" s="35">
        <f t="shared" si="39"/>
        <v>33297123</v>
      </c>
      <c r="Z97" s="24"/>
      <c r="AA97" s="24"/>
      <c r="AB97" s="24"/>
      <c r="AC97" s="24"/>
      <c r="AD97" s="34">
        <f t="shared" si="26"/>
        <v>19533480</v>
      </c>
      <c r="AE97" s="24">
        <f t="shared" si="26"/>
        <v>5813502.5923199998</v>
      </c>
      <c r="AF97" s="24">
        <f t="shared" si="26"/>
        <v>6146728</v>
      </c>
      <c r="AG97" s="35">
        <f t="shared" si="26"/>
        <v>384976000</v>
      </c>
    </row>
    <row r="98" spans="1:33">
      <c r="A98" s="1" t="s">
        <v>116</v>
      </c>
      <c r="B98" s="34">
        <f t="shared" si="20"/>
        <v>20539042</v>
      </c>
      <c r="C98" s="24">
        <f t="shared" si="23"/>
        <v>5741959</v>
      </c>
      <c r="D98" s="24">
        <f t="shared" si="36"/>
        <v>6262996</v>
      </c>
      <c r="E98" s="24">
        <f t="shared" si="36"/>
        <v>585090799</v>
      </c>
      <c r="F98" s="34">
        <f t="shared" si="36"/>
        <v>10261358</v>
      </c>
      <c r="G98" s="24">
        <f t="shared" si="36"/>
        <v>2584046</v>
      </c>
      <c r="H98" s="24">
        <f t="shared" si="36"/>
        <v>2808462</v>
      </c>
      <c r="I98" s="35">
        <f t="shared" si="34"/>
        <v>183184270</v>
      </c>
      <c r="J98" s="24">
        <f t="shared" ref="J98:Y98" si="40">SUM(J42:J45)</f>
        <v>3094345</v>
      </c>
      <c r="K98" s="24">
        <f t="shared" si="40"/>
        <v>736015</v>
      </c>
      <c r="L98" s="24">
        <f t="shared" si="40"/>
        <v>333958</v>
      </c>
      <c r="M98" s="24">
        <f t="shared" si="40"/>
        <v>54542884</v>
      </c>
      <c r="N98" s="34">
        <f t="shared" si="40"/>
        <v>1368859</v>
      </c>
      <c r="O98" s="24">
        <f t="shared" si="40"/>
        <v>363192</v>
      </c>
      <c r="P98" s="24">
        <f t="shared" si="40"/>
        <v>277401.90000000002</v>
      </c>
      <c r="Q98" s="35">
        <f t="shared" si="40"/>
        <v>32795164</v>
      </c>
      <c r="R98" s="24">
        <f t="shared" si="40"/>
        <v>9802757</v>
      </c>
      <c r="S98" s="24">
        <f t="shared" si="40"/>
        <v>2397530.7119999998</v>
      </c>
      <c r="T98" s="24">
        <f t="shared" si="40"/>
        <v>2147540.7120000003</v>
      </c>
      <c r="U98" s="24">
        <f t="shared" si="40"/>
        <v>163666616</v>
      </c>
      <c r="V98" s="34">
        <f t="shared" si="40"/>
        <v>1363108</v>
      </c>
      <c r="W98" s="24">
        <f t="shared" si="40"/>
        <v>369595</v>
      </c>
      <c r="X98" s="24">
        <f t="shared" si="40"/>
        <v>357455</v>
      </c>
      <c r="Y98" s="35">
        <f t="shared" si="40"/>
        <v>32126803</v>
      </c>
      <c r="Z98" s="24"/>
      <c r="AA98" s="24"/>
      <c r="AB98" s="24"/>
      <c r="AC98" s="24"/>
      <c r="AD98" s="34">
        <f t="shared" si="26"/>
        <v>19305732</v>
      </c>
      <c r="AE98" s="24">
        <f t="shared" si="26"/>
        <v>5670974.5923199998</v>
      </c>
      <c r="AF98" s="24">
        <f t="shared" si="26"/>
        <v>6038533</v>
      </c>
      <c r="AG98" s="35">
        <f t="shared" si="26"/>
        <v>382657000</v>
      </c>
    </row>
    <row r="99" spans="1:33">
      <c r="A99" s="1" t="s">
        <v>117</v>
      </c>
      <c r="B99" s="34">
        <f t="shared" si="20"/>
        <v>21715561</v>
      </c>
      <c r="C99" s="24">
        <f t="shared" si="23"/>
        <v>6123278</v>
      </c>
      <c r="D99" s="24">
        <f t="shared" si="36"/>
        <v>6654257</v>
      </c>
      <c r="E99" s="24">
        <f t="shared" si="36"/>
        <v>613524190.88699996</v>
      </c>
      <c r="F99" s="34">
        <f t="shared" si="36"/>
        <v>10984477</v>
      </c>
      <c r="G99" s="24">
        <f t="shared" si="36"/>
        <v>2905959</v>
      </c>
      <c r="H99" s="24">
        <f t="shared" si="36"/>
        <v>3489929</v>
      </c>
      <c r="I99" s="35">
        <f t="shared" si="34"/>
        <v>192051916</v>
      </c>
      <c r="J99" s="24">
        <f t="shared" ref="J99:Y99" si="41">SUM(J43:J46)</f>
        <v>3306969</v>
      </c>
      <c r="K99" s="24">
        <f t="shared" si="41"/>
        <v>825493</v>
      </c>
      <c r="L99" s="24">
        <f t="shared" si="41"/>
        <v>430072</v>
      </c>
      <c r="M99" s="24">
        <f t="shared" si="41"/>
        <v>58533363</v>
      </c>
      <c r="N99" s="34">
        <f t="shared" si="41"/>
        <v>1448972</v>
      </c>
      <c r="O99" s="24">
        <f t="shared" si="41"/>
        <v>388684</v>
      </c>
      <c r="P99" s="24">
        <f t="shared" si="41"/>
        <v>302847</v>
      </c>
      <c r="Q99" s="35">
        <f t="shared" si="41"/>
        <v>34681138</v>
      </c>
      <c r="R99" s="24">
        <f t="shared" si="41"/>
        <v>10517753</v>
      </c>
      <c r="S99" s="24">
        <f t="shared" si="41"/>
        <v>2777140.7119999998</v>
      </c>
      <c r="T99" s="24">
        <f t="shared" si="41"/>
        <v>2564099.7120000003</v>
      </c>
      <c r="U99" s="24">
        <f t="shared" si="41"/>
        <v>173090915</v>
      </c>
      <c r="V99" s="34">
        <f t="shared" si="41"/>
        <v>1479569</v>
      </c>
      <c r="W99" s="24">
        <f t="shared" si="41"/>
        <v>439860</v>
      </c>
      <c r="X99" s="24">
        <f t="shared" si="41"/>
        <v>438037</v>
      </c>
      <c r="Y99" s="35">
        <f t="shared" si="41"/>
        <v>33859825</v>
      </c>
      <c r="Z99" s="24"/>
      <c r="AA99" s="24"/>
      <c r="AB99" s="24"/>
      <c r="AC99" s="24"/>
      <c r="AD99" s="34">
        <f t="shared" si="26"/>
        <v>20565116</v>
      </c>
      <c r="AE99" s="24">
        <f t="shared" si="26"/>
        <v>6292015</v>
      </c>
      <c r="AF99" s="24">
        <f t="shared" si="26"/>
        <v>6668685</v>
      </c>
      <c r="AG99" s="35">
        <f t="shared" si="26"/>
        <v>401498000</v>
      </c>
    </row>
    <row r="100" spans="1:33">
      <c r="A100" s="1" t="s">
        <v>118</v>
      </c>
      <c r="B100" s="34">
        <f t="shared" si="20"/>
        <v>22306547</v>
      </c>
      <c r="C100" s="24">
        <f t="shared" si="23"/>
        <v>6226349</v>
      </c>
      <c r="D100" s="24">
        <f t="shared" si="36"/>
        <v>6859511</v>
      </c>
      <c r="E100" s="24">
        <f t="shared" si="36"/>
        <v>617937292.88699996</v>
      </c>
      <c r="F100" s="34">
        <f t="shared" si="36"/>
        <v>11414326</v>
      </c>
      <c r="G100" s="24">
        <f t="shared" si="36"/>
        <v>3056787</v>
      </c>
      <c r="H100" s="24">
        <f t="shared" si="36"/>
        <v>3703011</v>
      </c>
      <c r="I100" s="35">
        <f t="shared" si="34"/>
        <v>194745697</v>
      </c>
      <c r="J100" s="24">
        <f t="shared" ref="J100:Y100" si="42">SUM(J44:J47)</f>
        <v>3427195</v>
      </c>
      <c r="K100" s="24">
        <f t="shared" si="42"/>
        <v>882034</v>
      </c>
      <c r="L100" s="24">
        <f t="shared" si="42"/>
        <v>490788</v>
      </c>
      <c r="M100" s="24">
        <f t="shared" si="42"/>
        <v>59328054</v>
      </c>
      <c r="N100" s="34">
        <f t="shared" si="42"/>
        <v>1516462</v>
      </c>
      <c r="O100" s="24">
        <f t="shared" si="42"/>
        <v>398431</v>
      </c>
      <c r="P100" s="24">
        <f t="shared" si="42"/>
        <v>312804</v>
      </c>
      <c r="Q100" s="35">
        <f t="shared" si="42"/>
        <v>35782558</v>
      </c>
      <c r="R100" s="24">
        <f t="shared" si="42"/>
        <v>10863751</v>
      </c>
      <c r="S100" s="24">
        <f t="shared" si="42"/>
        <v>2978924.7119999998</v>
      </c>
      <c r="T100" s="24">
        <f t="shared" si="42"/>
        <v>2767839.7120000003</v>
      </c>
      <c r="U100" s="24">
        <f t="shared" si="42"/>
        <v>176808052</v>
      </c>
      <c r="V100" s="34">
        <f t="shared" si="42"/>
        <v>1521880</v>
      </c>
      <c r="W100" s="24">
        <f t="shared" si="42"/>
        <v>437872</v>
      </c>
      <c r="X100" s="24">
        <f t="shared" si="42"/>
        <v>442847</v>
      </c>
      <c r="Y100" s="35">
        <f t="shared" si="42"/>
        <v>34610480</v>
      </c>
      <c r="Z100" s="24"/>
      <c r="AA100" s="24"/>
      <c r="AB100" s="24"/>
      <c r="AC100" s="24"/>
      <c r="AD100" s="34">
        <f t="shared" si="26"/>
        <v>21213003</v>
      </c>
      <c r="AE100" s="24">
        <f t="shared" si="26"/>
        <v>6566663</v>
      </c>
      <c r="AF100" s="24">
        <f t="shared" si="26"/>
        <v>6967752</v>
      </c>
      <c r="AG100" s="35">
        <f t="shared" si="26"/>
        <v>407899000</v>
      </c>
    </row>
    <row r="101" spans="1:33">
      <c r="A101" s="1" t="s">
        <v>119</v>
      </c>
      <c r="B101" s="34">
        <f t="shared" si="20"/>
        <v>22913195</v>
      </c>
      <c r="C101" s="24">
        <f t="shared" si="23"/>
        <v>6429663</v>
      </c>
      <c r="D101" s="24">
        <f t="shared" si="36"/>
        <v>7077963</v>
      </c>
      <c r="E101" s="24">
        <f t="shared" si="36"/>
        <v>621450534.88699996</v>
      </c>
      <c r="F101" s="34">
        <f t="shared" si="36"/>
        <v>11798814</v>
      </c>
      <c r="G101" s="24">
        <f t="shared" si="36"/>
        <v>3217139</v>
      </c>
      <c r="H101" s="24">
        <f t="shared" si="36"/>
        <v>3900684</v>
      </c>
      <c r="I101" s="35">
        <f t="shared" si="34"/>
        <v>194322739</v>
      </c>
      <c r="J101" s="24">
        <f t="shared" ref="J101:Y101" si="43">SUM(J45:J48)</f>
        <v>3525815</v>
      </c>
      <c r="K101" s="24">
        <f t="shared" si="43"/>
        <v>923549</v>
      </c>
      <c r="L101" s="24">
        <f t="shared" si="43"/>
        <v>556996</v>
      </c>
      <c r="M101" s="24">
        <f t="shared" si="43"/>
        <v>59028728</v>
      </c>
      <c r="N101" s="34">
        <f t="shared" si="43"/>
        <v>1572087</v>
      </c>
      <c r="O101" s="24">
        <f t="shared" si="43"/>
        <v>388579</v>
      </c>
      <c r="P101" s="24">
        <f t="shared" si="43"/>
        <v>302496</v>
      </c>
      <c r="Q101" s="35">
        <f t="shared" si="43"/>
        <v>35435863</v>
      </c>
      <c r="R101" s="24">
        <f t="shared" si="43"/>
        <v>11141650</v>
      </c>
      <c r="S101" s="24">
        <f t="shared" si="43"/>
        <v>3085882</v>
      </c>
      <c r="T101" s="24">
        <f t="shared" si="43"/>
        <v>2874168</v>
      </c>
      <c r="U101" s="24">
        <f t="shared" si="43"/>
        <v>178085069</v>
      </c>
      <c r="V101" s="34">
        <f t="shared" si="43"/>
        <v>1575619</v>
      </c>
      <c r="W101" s="24">
        <f t="shared" si="43"/>
        <v>476048</v>
      </c>
      <c r="X101" s="24">
        <f t="shared" si="43"/>
        <v>465745</v>
      </c>
      <c r="Y101" s="35">
        <f t="shared" si="43"/>
        <v>35242648</v>
      </c>
      <c r="Z101" s="24"/>
      <c r="AA101" s="24"/>
      <c r="AB101" s="24"/>
      <c r="AC101" s="24"/>
      <c r="AD101" s="34">
        <f t="shared" si="26"/>
        <v>21804317</v>
      </c>
      <c r="AE101" s="24">
        <f t="shared" si="26"/>
        <v>6889149</v>
      </c>
      <c r="AF101" s="24">
        <f t="shared" si="26"/>
        <v>7313928</v>
      </c>
      <c r="AG101" s="35">
        <f t="shared" si="26"/>
        <v>411273000</v>
      </c>
    </row>
    <row r="102" spans="1:33">
      <c r="A102" s="1" t="s">
        <v>120</v>
      </c>
      <c r="B102" s="34">
        <f t="shared" si="20"/>
        <v>23467405</v>
      </c>
      <c r="C102" s="24">
        <f t="shared" si="23"/>
        <v>6548587</v>
      </c>
      <c r="D102" s="24">
        <f t="shared" si="36"/>
        <v>7205565</v>
      </c>
      <c r="E102" s="24">
        <f t="shared" si="36"/>
        <v>624941301.88699996</v>
      </c>
      <c r="F102" s="34">
        <f t="shared" si="36"/>
        <v>12162196</v>
      </c>
      <c r="G102" s="24">
        <f t="shared" si="36"/>
        <v>3320338</v>
      </c>
      <c r="H102" s="24">
        <f t="shared" si="36"/>
        <v>4058201</v>
      </c>
      <c r="I102" s="35">
        <f t="shared" si="34"/>
        <v>193346440</v>
      </c>
      <c r="J102" s="24">
        <f t="shared" ref="J102:Y102" si="44">SUM(J46:J49)</f>
        <v>3658426</v>
      </c>
      <c r="K102" s="24">
        <f t="shared" si="44"/>
        <v>908130</v>
      </c>
      <c r="L102" s="24">
        <f t="shared" si="44"/>
        <v>459826</v>
      </c>
      <c r="M102" s="24">
        <f t="shared" si="44"/>
        <v>59479668</v>
      </c>
      <c r="N102" s="34">
        <f t="shared" si="44"/>
        <v>1629501</v>
      </c>
      <c r="O102" s="24">
        <f t="shared" si="44"/>
        <v>395077</v>
      </c>
      <c r="P102" s="24">
        <f t="shared" si="44"/>
        <v>308814</v>
      </c>
      <c r="Q102" s="35">
        <f t="shared" si="44"/>
        <v>35714198</v>
      </c>
      <c r="R102" s="24">
        <f t="shared" si="44"/>
        <v>11417993</v>
      </c>
      <c r="S102" s="24">
        <f t="shared" si="44"/>
        <v>3117059</v>
      </c>
      <c r="T102" s="24">
        <f t="shared" si="44"/>
        <v>2954022</v>
      </c>
      <c r="U102" s="24">
        <f t="shared" si="44"/>
        <v>178339539</v>
      </c>
      <c r="V102" s="34">
        <f t="shared" si="44"/>
        <v>1608887</v>
      </c>
      <c r="W102" s="24">
        <f t="shared" si="44"/>
        <v>478527</v>
      </c>
      <c r="X102" s="24">
        <f t="shared" si="44"/>
        <v>415247</v>
      </c>
      <c r="Y102" s="35">
        <f t="shared" si="44"/>
        <v>35352542</v>
      </c>
      <c r="Z102" s="24"/>
      <c r="AA102" s="24"/>
      <c r="AB102" s="24"/>
      <c r="AC102" s="24"/>
      <c r="AD102" s="34">
        <f t="shared" si="26"/>
        <v>22663639</v>
      </c>
      <c r="AE102" s="24">
        <f t="shared" si="26"/>
        <v>7192595</v>
      </c>
      <c r="AF102" s="24">
        <f t="shared" si="26"/>
        <v>7615567</v>
      </c>
      <c r="AG102" s="35">
        <f t="shared" si="26"/>
        <v>421101000</v>
      </c>
    </row>
    <row r="103" spans="1:33">
      <c r="A103" s="1" t="s">
        <v>122</v>
      </c>
      <c r="B103" s="34">
        <f t="shared" si="20"/>
        <v>24307558</v>
      </c>
      <c r="C103" s="24">
        <f t="shared" si="23"/>
        <v>6633024</v>
      </c>
      <c r="D103" s="24">
        <f t="shared" si="36"/>
        <v>7414472</v>
      </c>
      <c r="E103" s="24">
        <f t="shared" si="36"/>
        <v>621511811</v>
      </c>
      <c r="F103" s="34">
        <f t="shared" si="36"/>
        <v>12718281</v>
      </c>
      <c r="G103" s="24">
        <f t="shared" si="36"/>
        <v>3480273</v>
      </c>
      <c r="H103" s="24">
        <f t="shared" si="36"/>
        <v>4042933</v>
      </c>
      <c r="I103" s="35">
        <f t="shared" si="34"/>
        <v>193439932</v>
      </c>
      <c r="J103" s="24">
        <f t="shared" ref="J103:Y103" si="45">SUM(J47:J50)</f>
        <v>3864086</v>
      </c>
      <c r="K103" s="24">
        <f t="shared" si="45"/>
        <v>996924</v>
      </c>
      <c r="L103" s="24">
        <f t="shared" si="45"/>
        <v>551936</v>
      </c>
      <c r="M103" s="24">
        <f t="shared" si="45"/>
        <v>61427756</v>
      </c>
      <c r="N103" s="34">
        <f t="shared" si="45"/>
        <v>1691746</v>
      </c>
      <c r="O103" s="24">
        <f t="shared" si="45"/>
        <v>400189</v>
      </c>
      <c r="P103" s="24">
        <f t="shared" si="45"/>
        <v>313413</v>
      </c>
      <c r="Q103" s="35">
        <f t="shared" si="45"/>
        <v>35662351</v>
      </c>
      <c r="R103" s="24">
        <f t="shared" si="45"/>
        <v>11868185</v>
      </c>
      <c r="S103" s="24">
        <f t="shared" si="45"/>
        <v>3174448</v>
      </c>
      <c r="T103" s="24">
        <f t="shared" si="45"/>
        <v>3097475</v>
      </c>
      <c r="U103" s="24">
        <f t="shared" si="45"/>
        <v>178429972</v>
      </c>
      <c r="V103" s="34">
        <f t="shared" si="45"/>
        <v>1667113</v>
      </c>
      <c r="W103" s="24">
        <f t="shared" si="45"/>
        <v>476377</v>
      </c>
      <c r="X103" s="24">
        <f t="shared" si="45"/>
        <v>405527</v>
      </c>
      <c r="Y103" s="35">
        <f t="shared" si="45"/>
        <v>36319737</v>
      </c>
      <c r="Z103" s="24"/>
      <c r="AA103" s="24"/>
      <c r="AB103" s="24"/>
      <c r="AC103" s="24"/>
      <c r="AD103" s="34">
        <f t="shared" si="26"/>
        <v>23429018</v>
      </c>
      <c r="AE103" s="24">
        <f t="shared" si="26"/>
        <v>7218496</v>
      </c>
      <c r="AF103" s="24">
        <f t="shared" si="26"/>
        <v>7683546</v>
      </c>
      <c r="AG103" s="35">
        <f t="shared" si="26"/>
        <v>419731000</v>
      </c>
    </row>
    <row r="104" spans="1:33">
      <c r="A104" s="1" t="s">
        <v>124</v>
      </c>
      <c r="B104" s="34">
        <f t="shared" si="20"/>
        <v>25255551</v>
      </c>
      <c r="C104" s="24">
        <f t="shared" si="23"/>
        <v>6570874.9139799997</v>
      </c>
      <c r="D104" s="24">
        <f t="shared" si="36"/>
        <v>7512219.9139799997</v>
      </c>
      <c r="E104" s="24">
        <f t="shared" si="36"/>
        <v>618707317</v>
      </c>
      <c r="F104" s="34">
        <f t="shared" si="36"/>
        <v>13263389</v>
      </c>
      <c r="G104" s="24">
        <f t="shared" si="36"/>
        <v>3607720</v>
      </c>
      <c r="H104" s="24">
        <f t="shared" si="36"/>
        <v>4233188</v>
      </c>
      <c r="I104" s="35">
        <f t="shared" si="34"/>
        <v>194285115</v>
      </c>
      <c r="J104" s="24">
        <f t="shared" ref="J104:Y104" si="46">SUM(J48:J51)</f>
        <v>4049765</v>
      </c>
      <c r="K104" s="24">
        <f t="shared" si="46"/>
        <v>1039104</v>
      </c>
      <c r="L104" s="24">
        <f t="shared" si="46"/>
        <v>598244</v>
      </c>
      <c r="M104" s="24">
        <f t="shared" si="46"/>
        <v>62635386</v>
      </c>
      <c r="N104" s="34">
        <f t="shared" si="46"/>
        <v>1755437</v>
      </c>
      <c r="O104" s="24">
        <f t="shared" si="46"/>
        <v>413178.74209000001</v>
      </c>
      <c r="P104" s="24">
        <f t="shared" si="46"/>
        <v>326540</v>
      </c>
      <c r="Q104" s="35">
        <f t="shared" si="46"/>
        <v>34924155</v>
      </c>
      <c r="R104" s="24">
        <f t="shared" si="46"/>
        <v>12358864</v>
      </c>
      <c r="S104" s="24">
        <f t="shared" si="46"/>
        <v>3364592</v>
      </c>
      <c r="T104" s="24">
        <f t="shared" si="46"/>
        <v>3487051</v>
      </c>
      <c r="U104" s="24">
        <f t="shared" si="46"/>
        <v>178594273</v>
      </c>
      <c r="V104" s="34">
        <f t="shared" si="46"/>
        <v>1756945</v>
      </c>
      <c r="W104" s="24">
        <f t="shared" si="46"/>
        <v>532782</v>
      </c>
      <c r="X104" s="24">
        <f t="shared" si="46"/>
        <v>446009</v>
      </c>
      <c r="Y104" s="35">
        <f t="shared" si="46"/>
        <v>36881176</v>
      </c>
      <c r="Z104" s="24"/>
      <c r="AA104" s="24"/>
      <c r="AB104" s="24"/>
      <c r="AC104" s="24"/>
      <c r="AD104" s="34">
        <f t="shared" si="26"/>
        <v>24428591</v>
      </c>
      <c r="AE104" s="24">
        <f t="shared" si="26"/>
        <v>7360055</v>
      </c>
      <c r="AF104" s="24">
        <f t="shared" si="26"/>
        <v>7908571</v>
      </c>
      <c r="AG104" s="35">
        <f t="shared" si="26"/>
        <v>422665000</v>
      </c>
    </row>
    <row r="105" spans="1:33">
      <c r="A105" s="1" t="s">
        <v>126</v>
      </c>
      <c r="B105" s="34">
        <f t="shared" si="20"/>
        <v>25609516</v>
      </c>
      <c r="C105" s="24">
        <f t="shared" si="23"/>
        <v>6231490.9139799997</v>
      </c>
      <c r="D105" s="24">
        <f t="shared" ref="D105:H114" si="47">SUM(D49:D52)</f>
        <v>7589931.9139799997</v>
      </c>
      <c r="E105" s="24">
        <f t="shared" si="47"/>
        <v>605225515</v>
      </c>
      <c r="F105" s="34">
        <f t="shared" si="47"/>
        <v>13534467</v>
      </c>
      <c r="G105" s="24">
        <f t="shared" si="47"/>
        <v>3633590</v>
      </c>
      <c r="H105" s="24">
        <f t="shared" si="47"/>
        <v>4441259</v>
      </c>
      <c r="I105" s="35">
        <f t="shared" si="34"/>
        <v>193818434</v>
      </c>
      <c r="J105" s="24">
        <f t="shared" ref="J105:Y105" si="48">SUM(J49:J52)</f>
        <v>4177089</v>
      </c>
      <c r="K105" s="24">
        <f t="shared" si="48"/>
        <v>1069723</v>
      </c>
      <c r="L105" s="24">
        <f t="shared" si="48"/>
        <v>595841</v>
      </c>
      <c r="M105" s="24">
        <f t="shared" si="48"/>
        <v>62740123</v>
      </c>
      <c r="N105" s="34">
        <f t="shared" si="48"/>
        <v>1797430</v>
      </c>
      <c r="O105" s="24">
        <f t="shared" si="48"/>
        <v>444598.74300000002</v>
      </c>
      <c r="P105" s="24">
        <f t="shared" si="48"/>
        <v>359802.74300000002</v>
      </c>
      <c r="Q105" s="35">
        <f t="shared" si="48"/>
        <v>35618566</v>
      </c>
      <c r="R105" s="24">
        <f t="shared" si="48"/>
        <v>12744614</v>
      </c>
      <c r="S105" s="24">
        <f t="shared" si="48"/>
        <v>3321667</v>
      </c>
      <c r="T105" s="24">
        <f t="shared" si="48"/>
        <v>3726100</v>
      </c>
      <c r="U105" s="24">
        <f t="shared" si="48"/>
        <v>178629229</v>
      </c>
      <c r="V105" s="34">
        <f t="shared" si="48"/>
        <v>1799593</v>
      </c>
      <c r="W105" s="24">
        <f t="shared" si="48"/>
        <v>515204</v>
      </c>
      <c r="X105" s="24">
        <f t="shared" si="48"/>
        <v>453401</v>
      </c>
      <c r="Y105" s="35">
        <f t="shared" si="48"/>
        <v>36987849</v>
      </c>
      <c r="Z105" s="24"/>
      <c r="AA105" s="24"/>
      <c r="AB105" s="24"/>
      <c r="AC105" s="24"/>
      <c r="AD105" s="34">
        <f t="shared" si="26"/>
        <v>24875174</v>
      </c>
      <c r="AE105" s="24">
        <f t="shared" si="26"/>
        <v>7295205</v>
      </c>
      <c r="AF105" s="24">
        <f t="shared" si="26"/>
        <v>7850030</v>
      </c>
      <c r="AG105" s="35">
        <f t="shared" si="26"/>
        <v>420752000</v>
      </c>
    </row>
    <row r="106" spans="1:33" ht="10.5" customHeight="1">
      <c r="A106" s="1" t="s">
        <v>127</v>
      </c>
      <c r="B106" s="34">
        <f t="shared" si="20"/>
        <v>25729605</v>
      </c>
      <c r="C106" s="24">
        <f t="shared" si="23"/>
        <v>6039370.8539799992</v>
      </c>
      <c r="D106" s="24">
        <f t="shared" si="47"/>
        <v>7615524.2639799993</v>
      </c>
      <c r="E106" s="24">
        <f t="shared" si="47"/>
        <v>595837018</v>
      </c>
      <c r="F106" s="34">
        <f t="shared" si="47"/>
        <v>13804782</v>
      </c>
      <c r="G106" s="24">
        <f t="shared" si="47"/>
        <v>3716737</v>
      </c>
      <c r="H106" s="24">
        <f t="shared" si="47"/>
        <v>4695273</v>
      </c>
      <c r="I106" s="35">
        <f t="shared" si="34"/>
        <v>195703500</v>
      </c>
      <c r="J106" s="24">
        <f t="shared" ref="J106:Y106" si="49">SUM(J50:J53)</f>
        <v>4227041</v>
      </c>
      <c r="K106" s="24">
        <f t="shared" si="49"/>
        <v>1167698</v>
      </c>
      <c r="L106" s="24">
        <f t="shared" si="49"/>
        <v>767484</v>
      </c>
      <c r="M106" s="24">
        <f t="shared" si="49"/>
        <v>62136847</v>
      </c>
      <c r="N106" s="34">
        <f t="shared" si="49"/>
        <v>1818091</v>
      </c>
      <c r="O106" s="24">
        <f t="shared" si="49"/>
        <v>434236.74300000002</v>
      </c>
      <c r="P106" s="24">
        <f t="shared" si="49"/>
        <v>349099.74300000002</v>
      </c>
      <c r="Q106" s="35">
        <f t="shared" si="49"/>
        <v>35611922</v>
      </c>
      <c r="R106" s="24">
        <f t="shared" si="49"/>
        <v>12961610</v>
      </c>
      <c r="S106" s="24">
        <f t="shared" si="49"/>
        <v>2979734</v>
      </c>
      <c r="T106" s="24">
        <f t="shared" si="49"/>
        <v>3661994</v>
      </c>
      <c r="U106" s="24">
        <f t="shared" si="49"/>
        <v>178863268</v>
      </c>
      <c r="V106" s="34">
        <f t="shared" si="49"/>
        <v>1889988</v>
      </c>
      <c r="W106" s="24">
        <f t="shared" si="49"/>
        <v>554466</v>
      </c>
      <c r="X106" s="24">
        <f t="shared" si="49"/>
        <v>508901</v>
      </c>
      <c r="Y106" s="35">
        <f t="shared" si="49"/>
        <v>36942822</v>
      </c>
      <c r="Z106" s="24"/>
      <c r="AA106" s="24"/>
      <c r="AB106" s="24"/>
      <c r="AC106" s="24"/>
      <c r="AD106" s="34">
        <f t="shared" ref="AD106:AG114" si="50">SUM(AD50:AD53)</f>
        <v>25067565</v>
      </c>
      <c r="AE106" s="24">
        <f t="shared" si="50"/>
        <v>7181112</v>
      </c>
      <c r="AF106" s="24">
        <f t="shared" si="50"/>
        <v>7829491</v>
      </c>
      <c r="AG106" s="35">
        <f t="shared" si="50"/>
        <v>417386000</v>
      </c>
    </row>
    <row r="107" spans="1:33" ht="10.5" customHeight="1">
      <c r="A107" s="1" t="s">
        <v>128</v>
      </c>
      <c r="B107" s="34">
        <f t="shared" si="20"/>
        <v>24962086</v>
      </c>
      <c r="C107" s="24">
        <f t="shared" si="23"/>
        <v>5607786.8539799992</v>
      </c>
      <c r="D107" s="24">
        <f t="shared" si="47"/>
        <v>7340817.2639799993</v>
      </c>
      <c r="E107" s="24">
        <f t="shared" si="47"/>
        <v>581850330</v>
      </c>
      <c r="F107" s="34">
        <f t="shared" si="47"/>
        <v>13709301</v>
      </c>
      <c r="G107" s="24">
        <f t="shared" si="47"/>
        <v>3689219</v>
      </c>
      <c r="H107" s="24">
        <f t="shared" si="47"/>
        <v>4614742</v>
      </c>
      <c r="I107" s="35">
        <f t="shared" si="34"/>
        <v>195798563</v>
      </c>
      <c r="J107" s="24">
        <f t="shared" ref="J107:Y107" si="51">SUM(J51:J54)</f>
        <v>4094444</v>
      </c>
      <c r="K107" s="24">
        <f t="shared" si="51"/>
        <v>1083214</v>
      </c>
      <c r="L107" s="24">
        <f t="shared" si="51"/>
        <v>658446</v>
      </c>
      <c r="M107" s="24">
        <f t="shared" si="51"/>
        <v>59350493</v>
      </c>
      <c r="N107" s="34">
        <f t="shared" si="51"/>
        <v>1794980</v>
      </c>
      <c r="O107" s="24">
        <f t="shared" si="51"/>
        <v>360766.3725</v>
      </c>
      <c r="P107" s="24">
        <f t="shared" si="51"/>
        <v>277058.64300000004</v>
      </c>
      <c r="Q107" s="35">
        <f t="shared" si="51"/>
        <v>35181618</v>
      </c>
      <c r="R107" s="24">
        <f t="shared" si="51"/>
        <v>12692400</v>
      </c>
      <c r="S107" s="24">
        <f t="shared" si="51"/>
        <v>2407453</v>
      </c>
      <c r="T107" s="24">
        <f t="shared" si="51"/>
        <v>3281689</v>
      </c>
      <c r="U107" s="24">
        <f t="shared" si="51"/>
        <v>177345175</v>
      </c>
      <c r="V107" s="34">
        <f t="shared" si="51"/>
        <v>1862688</v>
      </c>
      <c r="W107" s="24">
        <f t="shared" si="51"/>
        <v>531006.53830999997</v>
      </c>
      <c r="X107" s="24">
        <f t="shared" si="51"/>
        <v>499594.53831000003</v>
      </c>
      <c r="Y107" s="35">
        <f t="shared" si="51"/>
        <v>35943783</v>
      </c>
      <c r="Z107" s="24"/>
      <c r="AA107" s="24"/>
      <c r="AB107" s="24"/>
      <c r="AC107" s="24"/>
      <c r="AD107" s="34">
        <f t="shared" si="50"/>
        <v>24749022</v>
      </c>
      <c r="AE107" s="24">
        <f t="shared" si="50"/>
        <v>7020754</v>
      </c>
      <c r="AF107" s="24">
        <f t="shared" si="50"/>
        <v>7565504</v>
      </c>
      <c r="AG107" s="35">
        <f t="shared" si="50"/>
        <v>415499000</v>
      </c>
    </row>
    <row r="108" spans="1:33">
      <c r="A108" s="1" t="s">
        <v>129</v>
      </c>
      <c r="B108" s="34">
        <f t="shared" si="20"/>
        <v>24128644</v>
      </c>
      <c r="C108" s="24">
        <f t="shared" si="23"/>
        <v>5342217.9399999995</v>
      </c>
      <c r="D108" s="24">
        <f t="shared" si="47"/>
        <v>7126888.3499999996</v>
      </c>
      <c r="E108" s="24">
        <f t="shared" si="47"/>
        <v>576681432</v>
      </c>
      <c r="F108" s="34">
        <f t="shared" si="47"/>
        <v>13416612</v>
      </c>
      <c r="G108" s="24">
        <f t="shared" si="47"/>
        <v>3430039</v>
      </c>
      <c r="H108" s="24">
        <f t="shared" si="47"/>
        <v>4435258</v>
      </c>
      <c r="I108" s="35">
        <f t="shared" si="34"/>
        <v>195173025</v>
      </c>
      <c r="J108" s="24">
        <f t="shared" ref="J108:Y108" si="52">SUM(J52:J55)</f>
        <v>3937019</v>
      </c>
      <c r="K108" s="24">
        <f t="shared" si="52"/>
        <v>993554</v>
      </c>
      <c r="L108" s="24">
        <f t="shared" si="52"/>
        <v>545789</v>
      </c>
      <c r="M108" s="24">
        <f t="shared" si="52"/>
        <v>57776579</v>
      </c>
      <c r="N108" s="34">
        <f t="shared" si="52"/>
        <v>1763391</v>
      </c>
      <c r="O108" s="24">
        <f t="shared" si="52"/>
        <v>309541.63040999998</v>
      </c>
      <c r="P108" s="24">
        <f t="shared" si="52"/>
        <v>226759.64300000001</v>
      </c>
      <c r="Q108" s="35">
        <f t="shared" si="52"/>
        <v>35884549</v>
      </c>
      <c r="R108" s="24">
        <f t="shared" si="52"/>
        <v>12319324</v>
      </c>
      <c r="S108" s="24">
        <f t="shared" si="52"/>
        <v>1852662</v>
      </c>
      <c r="T108" s="24">
        <f t="shared" si="52"/>
        <v>2931084</v>
      </c>
      <c r="U108" s="24">
        <f t="shared" si="52"/>
        <v>175290963</v>
      </c>
      <c r="V108" s="34">
        <f t="shared" si="52"/>
        <v>1843322</v>
      </c>
      <c r="W108" s="24">
        <f t="shared" si="52"/>
        <v>505993.12940000009</v>
      </c>
      <c r="X108" s="24">
        <f t="shared" si="52"/>
        <v>500879.00000000006</v>
      </c>
      <c r="Y108" s="35">
        <f t="shared" si="52"/>
        <v>35955362</v>
      </c>
      <c r="Z108" s="24"/>
      <c r="AA108" s="24"/>
      <c r="AB108" s="24"/>
      <c r="AC108" s="24"/>
      <c r="AD108" s="34">
        <f t="shared" si="50"/>
        <v>24110626</v>
      </c>
      <c r="AE108" s="24">
        <f t="shared" si="50"/>
        <v>6726522</v>
      </c>
      <c r="AF108" s="24">
        <f t="shared" si="50"/>
        <v>7190500</v>
      </c>
      <c r="AG108" s="35">
        <f t="shared" si="50"/>
        <v>411283000</v>
      </c>
    </row>
    <row r="109" spans="1:33">
      <c r="A109" s="1" t="s">
        <v>130</v>
      </c>
      <c r="B109" s="34">
        <f t="shared" si="20"/>
        <v>23831387</v>
      </c>
      <c r="C109" s="24">
        <f t="shared" si="23"/>
        <v>5237942.9399999995</v>
      </c>
      <c r="D109" s="24">
        <f t="shared" si="47"/>
        <v>6956645.3499999996</v>
      </c>
      <c r="E109" s="24">
        <f t="shared" si="47"/>
        <v>579003484</v>
      </c>
      <c r="F109" s="34">
        <f t="shared" si="47"/>
        <v>13384225</v>
      </c>
      <c r="G109" s="36">
        <f t="shared" si="47"/>
        <v>3353949</v>
      </c>
      <c r="H109" s="24">
        <f t="shared" si="47"/>
        <v>4379740</v>
      </c>
      <c r="I109" s="35">
        <f t="shared" si="34"/>
        <v>196404612</v>
      </c>
      <c r="J109" s="24">
        <f t="shared" ref="J109:Y109" si="53">SUM(J53:J56)</f>
        <v>3839986</v>
      </c>
      <c r="K109" s="24">
        <f t="shared" si="53"/>
        <v>932988</v>
      </c>
      <c r="L109" s="24">
        <f t="shared" si="53"/>
        <v>473206</v>
      </c>
      <c r="M109" s="24">
        <f t="shared" si="53"/>
        <v>57149470</v>
      </c>
      <c r="N109" s="34">
        <f t="shared" si="53"/>
        <v>1756748</v>
      </c>
      <c r="O109" s="24">
        <f t="shared" si="53"/>
        <v>307107.62949999998</v>
      </c>
      <c r="P109" s="24">
        <f t="shared" si="53"/>
        <v>227672.9</v>
      </c>
      <c r="Q109" s="35">
        <f t="shared" si="53"/>
        <v>35938492</v>
      </c>
      <c r="R109" s="24">
        <f t="shared" si="53"/>
        <v>12156134</v>
      </c>
      <c r="S109" s="24">
        <f t="shared" si="53"/>
        <v>1567297</v>
      </c>
      <c r="T109" s="24">
        <f t="shared" si="53"/>
        <v>2767857</v>
      </c>
      <c r="U109" s="24">
        <f t="shared" si="53"/>
        <v>176045660</v>
      </c>
      <c r="V109" s="34">
        <f t="shared" si="53"/>
        <v>1767675</v>
      </c>
      <c r="W109" s="24">
        <f t="shared" si="53"/>
        <v>422163.93771000009</v>
      </c>
      <c r="X109" s="24">
        <f t="shared" si="53"/>
        <v>419946.00000000006</v>
      </c>
      <c r="Y109" s="35">
        <f t="shared" si="53"/>
        <v>36366760</v>
      </c>
      <c r="Z109" s="24"/>
      <c r="AA109" s="24"/>
      <c r="AB109" s="24"/>
      <c r="AC109" s="24"/>
      <c r="AD109" s="34">
        <f t="shared" si="50"/>
        <v>24044536</v>
      </c>
      <c r="AE109" s="24">
        <f t="shared" si="50"/>
        <v>6716708.8399999999</v>
      </c>
      <c r="AF109" s="24">
        <f t="shared" si="50"/>
        <v>7127622.8399999999</v>
      </c>
      <c r="AG109" s="35">
        <f t="shared" si="50"/>
        <v>413299000</v>
      </c>
    </row>
    <row r="110" spans="1:33" ht="10.5" customHeight="1">
      <c r="A110" s="1" t="s">
        <v>139</v>
      </c>
      <c r="B110" s="34">
        <f t="shared" si="20"/>
        <v>23573582</v>
      </c>
      <c r="C110" s="24">
        <f t="shared" si="23"/>
        <v>5079372</v>
      </c>
      <c r="D110" s="24">
        <f t="shared" si="47"/>
        <v>6942774</v>
      </c>
      <c r="E110" s="24">
        <f t="shared" si="47"/>
        <v>576957697</v>
      </c>
      <c r="F110" s="34">
        <f t="shared" si="47"/>
        <v>13376736</v>
      </c>
      <c r="G110" s="24">
        <f t="shared" si="47"/>
        <v>3292309</v>
      </c>
      <c r="H110" s="24">
        <f t="shared" si="47"/>
        <v>4306145</v>
      </c>
      <c r="I110" s="35">
        <f t="shared" si="34"/>
        <v>197027219</v>
      </c>
      <c r="J110" s="24">
        <f t="shared" ref="J110:M114" si="54">SUM(J54:J57)</f>
        <v>3755378</v>
      </c>
      <c r="K110" s="24">
        <f t="shared" si="54"/>
        <v>873397</v>
      </c>
      <c r="L110" s="24">
        <f t="shared" si="54"/>
        <v>401927</v>
      </c>
      <c r="M110" s="24">
        <f t="shared" si="54"/>
        <v>56101103</v>
      </c>
      <c r="N110" s="34"/>
      <c r="O110" s="24"/>
      <c r="P110" s="24"/>
      <c r="Q110" s="35"/>
      <c r="R110" s="24">
        <f t="shared" ref="R110:U114" si="55">SUM(R54:R57)</f>
        <v>12028040</v>
      </c>
      <c r="S110" s="24">
        <f t="shared" si="55"/>
        <v>1194571</v>
      </c>
      <c r="T110" s="24">
        <f t="shared" si="55"/>
        <v>2423395</v>
      </c>
      <c r="U110" s="24">
        <f t="shared" si="55"/>
        <v>176423060</v>
      </c>
      <c r="V110" s="34"/>
      <c r="W110" s="24"/>
      <c r="X110" s="24"/>
      <c r="Y110" s="35"/>
      <c r="Z110" s="24"/>
      <c r="AA110" s="24"/>
      <c r="AB110" s="24"/>
      <c r="AC110" s="24"/>
      <c r="AD110" s="34">
        <f t="shared" si="50"/>
        <v>24012119</v>
      </c>
      <c r="AE110" s="24">
        <f t="shared" si="50"/>
        <v>6829926.8399999999</v>
      </c>
      <c r="AF110" s="24">
        <f t="shared" si="50"/>
        <v>7132896.8399999999</v>
      </c>
      <c r="AG110" s="35">
        <f t="shared" si="50"/>
        <v>410738000</v>
      </c>
    </row>
    <row r="111" spans="1:33" ht="10.5" customHeight="1">
      <c r="A111" s="1" t="s">
        <v>140</v>
      </c>
      <c r="B111" s="34">
        <f t="shared" si="20"/>
        <v>23601192</v>
      </c>
      <c r="C111" s="24">
        <f t="shared" si="23"/>
        <v>5034495</v>
      </c>
      <c r="D111" s="24">
        <f t="shared" si="47"/>
        <v>7005517</v>
      </c>
      <c r="E111" s="24">
        <f t="shared" si="47"/>
        <v>574659651</v>
      </c>
      <c r="F111" s="34">
        <f t="shared" si="47"/>
        <v>13387922</v>
      </c>
      <c r="G111" s="24">
        <f t="shared" si="47"/>
        <v>3321345.2927466938</v>
      </c>
      <c r="H111" s="24">
        <f t="shared" si="47"/>
        <v>4440363.2927466938</v>
      </c>
      <c r="I111" s="35">
        <f t="shared" si="34"/>
        <v>197617352</v>
      </c>
      <c r="J111" s="24">
        <f t="shared" si="54"/>
        <v>3771860</v>
      </c>
      <c r="K111" s="24">
        <f t="shared" si="54"/>
        <v>873903</v>
      </c>
      <c r="L111" s="24">
        <f t="shared" si="54"/>
        <v>395691</v>
      </c>
      <c r="M111" s="24">
        <f t="shared" si="54"/>
        <v>55970218</v>
      </c>
      <c r="N111" s="34"/>
      <c r="O111" s="24"/>
      <c r="P111" s="24"/>
      <c r="Q111" s="35"/>
      <c r="R111" s="24">
        <f t="shared" si="55"/>
        <v>12091718</v>
      </c>
      <c r="S111" s="24">
        <f t="shared" si="55"/>
        <v>1600678</v>
      </c>
      <c r="T111" s="24">
        <f t="shared" si="55"/>
        <v>2879092</v>
      </c>
      <c r="U111" s="24">
        <f t="shared" si="55"/>
        <v>176554281</v>
      </c>
      <c r="V111" s="34"/>
      <c r="W111" s="24"/>
      <c r="X111" s="24"/>
      <c r="Y111" s="35"/>
      <c r="Z111" s="24"/>
      <c r="AA111" s="24"/>
      <c r="AB111" s="24"/>
      <c r="AC111" s="24"/>
      <c r="AD111" s="34">
        <f t="shared" si="50"/>
        <v>24052974</v>
      </c>
      <c r="AE111" s="24">
        <f t="shared" si="50"/>
        <v>6892296.8399999999</v>
      </c>
      <c r="AF111" s="24">
        <f t="shared" si="50"/>
        <v>7213841.8399999999</v>
      </c>
      <c r="AG111" s="35">
        <f t="shared" si="50"/>
        <v>409232000</v>
      </c>
    </row>
    <row r="112" spans="1:33">
      <c r="A112" s="1" t="s">
        <v>141</v>
      </c>
      <c r="B112" s="34">
        <f t="shared" si="20"/>
        <v>23781903</v>
      </c>
      <c r="C112" s="24">
        <f t="shared" si="23"/>
        <v>5194151</v>
      </c>
      <c r="D112" s="24">
        <f t="shared" si="47"/>
        <v>7218067</v>
      </c>
      <c r="E112" s="24">
        <f t="shared" si="47"/>
        <v>578519690</v>
      </c>
      <c r="F112" s="34">
        <f t="shared" si="47"/>
        <v>13438166</v>
      </c>
      <c r="G112" s="24">
        <f t="shared" si="47"/>
        <v>3398948.2927466938</v>
      </c>
      <c r="H112" s="24">
        <f t="shared" si="47"/>
        <v>4548345.2927466938</v>
      </c>
      <c r="I112" s="35">
        <f t="shared" si="34"/>
        <v>198450883</v>
      </c>
      <c r="J112" s="24">
        <f t="shared" si="54"/>
        <v>3774552</v>
      </c>
      <c r="K112" s="24">
        <f t="shared" si="54"/>
        <v>846236</v>
      </c>
      <c r="L112" s="24">
        <f t="shared" si="54"/>
        <v>374724</v>
      </c>
      <c r="M112" s="24">
        <f t="shared" si="54"/>
        <v>56167379</v>
      </c>
      <c r="N112" s="34"/>
      <c r="O112" s="24"/>
      <c r="P112" s="24"/>
      <c r="Q112" s="35"/>
      <c r="R112" s="24">
        <f t="shared" si="55"/>
        <v>12173310</v>
      </c>
      <c r="S112" s="24">
        <f t="shared" si="55"/>
        <v>1822547</v>
      </c>
      <c r="T112" s="24">
        <f t="shared" si="55"/>
        <v>3467943</v>
      </c>
      <c r="U112" s="24">
        <f t="shared" si="55"/>
        <v>177803537</v>
      </c>
      <c r="V112" s="34"/>
      <c r="W112" s="24"/>
      <c r="X112" s="24"/>
      <c r="Y112" s="35"/>
      <c r="Z112" s="24"/>
      <c r="AA112" s="24"/>
      <c r="AB112" s="24"/>
      <c r="AC112" s="24"/>
      <c r="AD112" s="34">
        <f t="shared" si="50"/>
        <v>24200932</v>
      </c>
      <c r="AE112" s="24">
        <f t="shared" si="50"/>
        <v>7019585.8399999999</v>
      </c>
      <c r="AF112" s="24">
        <f t="shared" si="50"/>
        <v>7399971.8399999999</v>
      </c>
      <c r="AG112" s="35">
        <f t="shared" si="50"/>
        <v>410235000</v>
      </c>
    </row>
    <row r="113" spans="1:33">
      <c r="A113" s="1" t="s">
        <v>142</v>
      </c>
      <c r="B113" s="34">
        <f t="shared" si="20"/>
        <v>23746979</v>
      </c>
      <c r="C113" s="24">
        <f t="shared" si="23"/>
        <v>5165038</v>
      </c>
      <c r="D113" s="24">
        <f t="shared" si="47"/>
        <v>7096841</v>
      </c>
      <c r="E113" s="24">
        <f t="shared" si="47"/>
        <v>577677945</v>
      </c>
      <c r="F113" s="34">
        <f t="shared" si="47"/>
        <v>13278319</v>
      </c>
      <c r="G113" s="24">
        <f t="shared" si="47"/>
        <v>3304661.2927466938</v>
      </c>
      <c r="H113" s="24">
        <f t="shared" si="47"/>
        <v>4445303.2927466938</v>
      </c>
      <c r="I113" s="35">
        <f t="shared" si="34"/>
        <v>198376027</v>
      </c>
      <c r="J113" s="24">
        <f t="shared" si="54"/>
        <v>3726732</v>
      </c>
      <c r="K113" s="24">
        <f t="shared" si="54"/>
        <v>809779</v>
      </c>
      <c r="L113" s="24">
        <f t="shared" si="54"/>
        <v>342693</v>
      </c>
      <c r="M113" s="24">
        <f t="shared" si="54"/>
        <v>56047959</v>
      </c>
      <c r="N113" s="34"/>
      <c r="O113" s="24"/>
      <c r="P113" s="24"/>
      <c r="Q113" s="35"/>
      <c r="R113" s="24">
        <f t="shared" si="55"/>
        <v>12122467</v>
      </c>
      <c r="S113" s="24">
        <f t="shared" si="55"/>
        <v>2066534</v>
      </c>
      <c r="T113" s="24">
        <f t="shared" si="55"/>
        <v>3671936</v>
      </c>
      <c r="U113" s="24">
        <f t="shared" si="55"/>
        <v>178039200</v>
      </c>
      <c r="V113" s="34"/>
      <c r="W113" s="24"/>
      <c r="X113" s="24"/>
      <c r="Y113" s="35"/>
      <c r="Z113" s="24">
        <f t="shared" ref="Z113:AC114" si="56">SUM(Z57:Z60)</f>
        <v>3597668</v>
      </c>
      <c r="AA113" s="24">
        <f t="shared" si="56"/>
        <v>831811.80830999999</v>
      </c>
      <c r="AB113" s="24">
        <f t="shared" si="56"/>
        <v>778093</v>
      </c>
      <c r="AC113" s="24">
        <f t="shared" si="56"/>
        <v>73567826</v>
      </c>
      <c r="AD113" s="34">
        <f t="shared" si="50"/>
        <v>24193294</v>
      </c>
      <c r="AE113" s="24">
        <f t="shared" si="50"/>
        <v>6991558</v>
      </c>
      <c r="AF113" s="24">
        <f t="shared" si="50"/>
        <v>7399551</v>
      </c>
      <c r="AG113" s="35">
        <f t="shared" si="50"/>
        <v>409716000</v>
      </c>
    </row>
    <row r="114" spans="1:33">
      <c r="A114" s="1" t="s">
        <v>144</v>
      </c>
      <c r="B114" s="34">
        <f t="shared" si="20"/>
        <v>23781750</v>
      </c>
      <c r="C114" s="24">
        <f t="shared" si="23"/>
        <v>5279196</v>
      </c>
      <c r="D114" s="24">
        <f t="shared" si="47"/>
        <v>7104539</v>
      </c>
      <c r="E114" s="24">
        <f t="shared" si="47"/>
        <v>575463348</v>
      </c>
      <c r="F114" s="34">
        <f t="shared" si="47"/>
        <v>13031064.677000001</v>
      </c>
      <c r="G114" s="24">
        <f t="shared" si="47"/>
        <v>3100077.2737466935</v>
      </c>
      <c r="H114" s="24">
        <f t="shared" si="47"/>
        <v>4244818.4197466942</v>
      </c>
      <c r="I114" s="35">
        <f t="shared" si="34"/>
        <v>197286812.28100002</v>
      </c>
      <c r="J114" s="24">
        <f t="shared" si="54"/>
        <v>3726523.8829999999</v>
      </c>
      <c r="K114" s="24">
        <f t="shared" si="54"/>
        <v>813748.53300000005</v>
      </c>
      <c r="L114" s="24">
        <f t="shared" si="54"/>
        <v>374323.97399999999</v>
      </c>
      <c r="M114" s="24">
        <f t="shared" si="54"/>
        <v>56456369.144000001</v>
      </c>
      <c r="N114" s="34"/>
      <c r="O114" s="24"/>
      <c r="P114" s="24"/>
      <c r="Q114" s="35"/>
      <c r="R114" s="24">
        <f t="shared" si="55"/>
        <v>12111680.249</v>
      </c>
      <c r="S114" s="24">
        <f t="shared" si="55"/>
        <v>2730388.4929999998</v>
      </c>
      <c r="T114" s="24">
        <f t="shared" si="55"/>
        <v>4363466.2689999994</v>
      </c>
      <c r="U114" s="24">
        <f t="shared" si="55"/>
        <v>178676313</v>
      </c>
      <c r="V114" s="34"/>
      <c r="W114" s="24"/>
      <c r="X114" s="24"/>
      <c r="Y114" s="35"/>
      <c r="Z114" s="24">
        <f t="shared" si="56"/>
        <v>3642121.1919999998</v>
      </c>
      <c r="AA114" s="24">
        <f t="shared" si="56"/>
        <v>865806.99100000015</v>
      </c>
      <c r="AB114" s="24">
        <f t="shared" si="56"/>
        <v>801737.71800000011</v>
      </c>
      <c r="AC114" s="24">
        <f t="shared" si="56"/>
        <v>73991527.425999999</v>
      </c>
      <c r="AD114" s="34">
        <f t="shared" si="50"/>
        <v>24184262</v>
      </c>
      <c r="AE114" s="24">
        <f t="shared" si="50"/>
        <v>6972869</v>
      </c>
      <c r="AF114" s="24">
        <f t="shared" si="50"/>
        <v>7429813</v>
      </c>
      <c r="AG114" s="35">
        <f t="shared" si="50"/>
        <v>412462000</v>
      </c>
    </row>
  </sheetData>
  <mergeCells count="16">
    <mergeCell ref="AD8:AG8"/>
    <mergeCell ref="B8:E8"/>
    <mergeCell ref="F8:I8"/>
    <mergeCell ref="J8:M8"/>
    <mergeCell ref="N8:Q8"/>
    <mergeCell ref="R8:U8"/>
    <mergeCell ref="Z8:AC8"/>
    <mergeCell ref="V8:Y8"/>
    <mergeCell ref="N64:Q64"/>
    <mergeCell ref="R64:U64"/>
    <mergeCell ref="Z64:AC64"/>
    <mergeCell ref="AD64:AG64"/>
    <mergeCell ref="B64:E64"/>
    <mergeCell ref="F64:I64"/>
    <mergeCell ref="J64:M64"/>
    <mergeCell ref="V64:Y64"/>
  </mergeCells>
  <phoneticPr fontId="2" type="noConversion"/>
  <pageMargins left="0.7" right="0.7" top="0.75" bottom="0.75" header="0.3" footer="0.3"/>
  <pageSetup paperSize="17" scale="65" orientation="landscape" r:id="rId1"/>
  <ignoredErrors>
    <ignoredError sqref="B67:I84 J66:U85 AD66:AG109 B85 D85:H85 B93:H93 B94:U106 J93:U93 B86:U92 AD110:AG112 B110:M112 C66:I66 R110:U112 B107:U109 R113:U113 C113:M113 AD113:AG113 B114:AG114 B113 N113:Q113 V113:AC11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colorId="22" zoomScale="80" zoomScaleNormal="80" workbookViewId="0">
      <selection activeCell="B69" sqref="B69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36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MARCH 31</v>
      </c>
      <c r="D9" s="43"/>
      <c r="E9" s="44"/>
      <c r="F9" s="45"/>
      <c r="G9" s="13"/>
      <c r="H9" s="47" t="str">
        <f>INPUT!A4</f>
        <v>12 MONTHS ENDED MARCH 31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34</v>
      </c>
      <c r="B16" s="54">
        <f>INPUT!$A$5</f>
        <v>2025</v>
      </c>
      <c r="C16" s="13">
        <f ca="1">ROUND(SUMIF($B$18:$F$29,$B16,C$18:C$29),0)</f>
        <v>19717685</v>
      </c>
      <c r="D16" s="13">
        <f t="shared" ref="D16:F17" ca="1" si="0">ROUND(SUMIF($B$18:$F$29,$B16,D$18:D$29),0)</f>
        <v>4693607</v>
      </c>
      <c r="E16" s="13">
        <f t="shared" ca="1" si="0"/>
        <v>5661039</v>
      </c>
      <c r="F16" s="13">
        <f t="shared" ca="1" si="0"/>
        <v>369421816</v>
      </c>
      <c r="G16" s="15"/>
      <c r="H16" s="13">
        <f ca="1">ROUND(SUMIF($B$18:$F$29,$B16,H$18:H$29),0)</f>
        <v>80477402</v>
      </c>
      <c r="I16" s="13">
        <f t="shared" ref="I16:K17" ca="1" si="1">ROUND(SUMIF($B$18:$F$29,$B16,I$18:I$29),0)</f>
        <v>19762086</v>
      </c>
      <c r="J16" s="13">
        <f t="shared" ca="1" si="1"/>
        <v>24318698</v>
      </c>
      <c r="K16" s="13">
        <f t="shared" ca="1" si="1"/>
        <v>1494336369</v>
      </c>
      <c r="L16" s="37"/>
      <c r="M16" s="2"/>
    </row>
    <row r="17" spans="1:13" ht="15.75" customHeight="1">
      <c r="A17" s="10" t="s">
        <v>35</v>
      </c>
      <c r="B17" s="27">
        <f>INPUT!$A$6</f>
        <v>2024</v>
      </c>
      <c r="C17" s="13">
        <f ca="1">ROUND(SUMIF($B$18:$F$29,$B17,C$18:C$29),0)</f>
        <v>19905742</v>
      </c>
      <c r="D17" s="13">
        <f t="shared" ca="1" si="0"/>
        <v>4100903</v>
      </c>
      <c r="E17" s="13">
        <f t="shared" ca="1" si="0"/>
        <v>5076758</v>
      </c>
      <c r="F17" s="13">
        <f t="shared" ca="1" si="0"/>
        <v>368510404</v>
      </c>
      <c r="G17" s="15"/>
      <c r="H17" s="13">
        <f ca="1">ROUND(SUMIF($B$18:$F$29,$B17,H$18:H$29),0)</f>
        <v>76745855</v>
      </c>
      <c r="I17" s="13">
        <f t="shared" ca="1" si="1"/>
        <v>17269576</v>
      </c>
      <c r="J17" s="13">
        <f t="shared" ca="1" si="1"/>
        <v>21207138</v>
      </c>
      <c r="K17" s="13">
        <f ca="1">ROUND(SUMIF($B$18:$F$29,$B17,K$18:K$29),0)</f>
        <v>1417247079</v>
      </c>
      <c r="M17" s="26"/>
    </row>
    <row r="18" spans="1:13" ht="15.75" customHeight="1">
      <c r="A18" s="9" t="s">
        <v>19</v>
      </c>
      <c r="B18" s="54">
        <f>INPUT!$A$5</f>
        <v>2025</v>
      </c>
      <c r="C18" s="53">
        <f>ROUND(VLOOKUP($C$9&amp;" "&amp;TEXT($B18,IF($B18="","","0")),Spreadsheet1,2,FALSE),0)</f>
        <v>5771220</v>
      </c>
      <c r="D18" s="53">
        <f>ROUND(VLOOKUP($C$9&amp;" "&amp;TEXT($B18,IF($B18="","","0")),Spreadsheet1,3,FALSE),0)</f>
        <v>1258985</v>
      </c>
      <c r="E18" s="53">
        <f>ROUND(VLOOKUP($C$9&amp;" "&amp;TEXT($B18,IF($B18="","","0")),Spreadsheet1,4,FALSE),0)</f>
        <v>1660148</v>
      </c>
      <c r="F18" s="53">
        <f>ROUND(VLOOKUP($C$9&amp;" "&amp;TEXT($B18,IF($B18="","","0")),Spreadsheet1,5,FALSE),0)</f>
        <v>138699000</v>
      </c>
      <c r="G18" s="13"/>
      <c r="H18" s="53">
        <f>ROUND(VLOOKUP($H$9&amp;" "&amp;TEXT($B18,IF($B18="","","0")),Spreadsheet2,2,FALSE),0)</f>
        <v>23781750</v>
      </c>
      <c r="I18" s="53">
        <f>ROUND(VLOOKUP($H$9&amp;" "&amp;TEXT($B18,IF($B18="","","0")),Spreadsheet2,3,FALSE),0)</f>
        <v>5279196</v>
      </c>
      <c r="J18" s="53">
        <f>ROUND(VLOOKUP($H$9&amp;" "&amp;TEXT($B18,IF($B18="","","0")),Spreadsheet2,4,FALSE),0)</f>
        <v>7104539</v>
      </c>
      <c r="K18" s="53">
        <f>ROUND(VLOOKUP($H$9&amp;" "&amp;TEXT($B18,IF($B18="","","0")),Spreadsheet2,5,FALSE),0)</f>
        <v>575463348</v>
      </c>
      <c r="M18" s="24"/>
    </row>
    <row r="19" spans="1:13" ht="12" customHeight="1">
      <c r="A19" s="10"/>
      <c r="B19" s="54">
        <f>INPUT!$A$6</f>
        <v>2024</v>
      </c>
      <c r="C19" s="53">
        <f>ROUND(VLOOKUP($C$9&amp;" "&amp;TEXT($B19,IF($B19="","","0")),Spreadsheet1,2,FALSE),0)</f>
        <v>5736449</v>
      </c>
      <c r="D19" s="53">
        <f>ROUND(VLOOKUP($C$9&amp;" "&amp;TEXT($B19,IF($B19="","","0")),Spreadsheet1,3,FALSE),0)</f>
        <v>1144827</v>
      </c>
      <c r="E19" s="53">
        <f>ROUND(VLOOKUP($C$9&amp;" "&amp;TEXT($B19,IF($B19="","","0")),Spreadsheet1,4,FALSE),0)</f>
        <v>1652450</v>
      </c>
      <c r="F19" s="53">
        <f>ROUND(VLOOKUP($C$9&amp;" "&amp;TEXT($B19,IF($B19="","","0")),Spreadsheet1,5,FALSE),0)</f>
        <v>140913597</v>
      </c>
      <c r="G19" s="14"/>
      <c r="H19" s="53">
        <f>ROUND(VLOOKUP($H$9&amp;" "&amp;TEXT($B19,IF($B19="","","0")),Spreadsheet2,2,FALSE),0)</f>
        <v>23573582</v>
      </c>
      <c r="I19" s="53">
        <f>ROUND(VLOOKUP($H$9&amp;" "&amp;TEXT($B19,IF($B19="","","0")),Spreadsheet2,3,FALSE),0)</f>
        <v>5079372</v>
      </c>
      <c r="J19" s="53">
        <f>ROUND(VLOOKUP($H$9&amp;" "&amp;TEXT($B19,IF($B19="","","0")),Spreadsheet2,4,FALSE),0)</f>
        <v>6942774</v>
      </c>
      <c r="K19" s="53">
        <f>ROUND(VLOOKUP($H$9&amp;" "&amp;TEXT($B19,IF($B19="","","0")),Spreadsheet2,5,FALSE),0)</f>
        <v>576957697</v>
      </c>
      <c r="L19" s="24"/>
      <c r="M19" s="24"/>
    </row>
    <row r="20" spans="1:13" ht="13.5" customHeight="1">
      <c r="A20" s="9" t="s">
        <v>20</v>
      </c>
      <c r="B20" s="54">
        <f>INPUT!$A$5</f>
        <v>2025</v>
      </c>
      <c r="C20" s="53">
        <f>ROUND(VLOOKUP($C$9&amp;" "&amp;TEXT($B20,IF($B20="","","0")),Spreadsheet1,6,FALSE),0)</f>
        <v>3120083</v>
      </c>
      <c r="D20" s="53">
        <f>ROUND(VLOOKUP($C$9&amp;" "&amp;TEXT($B20,IF($B20="","","0")),Spreadsheet1,7,FALSE),0)</f>
        <v>600523</v>
      </c>
      <c r="E20" s="53">
        <f>ROUND(VLOOKUP($C$9&amp;" "&amp;TEXT($B20,IF($B20="","","0")),Spreadsheet1,8,FALSE),0)</f>
        <v>863632</v>
      </c>
      <c r="F20" s="53">
        <f>ROUND(VLOOKUP($C$9&amp;" "&amp;TEXT($B20,IF($B20="","","0")),Spreadsheet1,9,FALSE),0)</f>
        <v>48706830</v>
      </c>
      <c r="G20" s="13"/>
      <c r="H20" s="53">
        <f>ROUND(VLOOKUP($H$9&amp;" "&amp;TEXT($B20,IF($B20="","","0")),Spreadsheet2,6,FALSE),0)</f>
        <v>13031065</v>
      </c>
      <c r="I20" s="53">
        <f>ROUND(VLOOKUP($H$9&amp;" "&amp;TEXT($B20,IF($B20="","","0")),Spreadsheet2,7,FALSE),0)</f>
        <v>3100077</v>
      </c>
      <c r="J20" s="53">
        <f>ROUND(VLOOKUP($H$9&amp;" "&amp;TEXT($B20,IF($B20="","","0")),Spreadsheet2,8,FALSE),0)</f>
        <v>4244818</v>
      </c>
      <c r="K20" s="53">
        <f>ROUND(VLOOKUP($H$9&amp;" "&amp;TEXT($B20,IF($B20="","","0")),Spreadsheet2,9,FALSE),0)</f>
        <v>197286812</v>
      </c>
      <c r="L20" s="1"/>
      <c r="M20" s="1"/>
    </row>
    <row r="21" spans="1:13" ht="14.25" customHeight="1">
      <c r="A21" s="10"/>
      <c r="B21" s="54">
        <f>INPUT!$A$6</f>
        <v>2024</v>
      </c>
      <c r="C21" s="53">
        <f>ROUND(VLOOKUP($C$9&amp;" "&amp;TEXT($B21,IF($B21="","","0")),Spreadsheet1,6,FALSE),0)</f>
        <v>3367337</v>
      </c>
      <c r="D21" s="53">
        <f>ROUND(VLOOKUP($C$9&amp;" "&amp;TEXT($B21,IF($B21="","","0")),Spreadsheet1,7,FALSE),0)</f>
        <v>805107</v>
      </c>
      <c r="E21" s="53">
        <f>ROUND(VLOOKUP($C$9&amp;" "&amp;TEXT($B21,IF($B21="","","0")),Spreadsheet1,8,FALSE),0)</f>
        <v>1064117</v>
      </c>
      <c r="F21" s="53">
        <f>ROUND(VLOOKUP($C$9&amp;" "&amp;TEXT($B21,IF($B21="","","0")),Spreadsheet1,9,FALSE),0)</f>
        <v>49796045</v>
      </c>
      <c r="G21" s="14"/>
      <c r="H21" s="53">
        <f>ROUND(VLOOKUP($H$9&amp;" "&amp;TEXT($B21,IF($B21="","","0")),Spreadsheet2,6,FALSE),0)</f>
        <v>13376736</v>
      </c>
      <c r="I21" s="53">
        <f>ROUND(VLOOKUP($H$9&amp;" "&amp;TEXT($B21,IF($B21="","","0")),Spreadsheet2,7,FALSE),0)</f>
        <v>3292309</v>
      </c>
      <c r="J21" s="53">
        <f>ROUND(VLOOKUP($H$9&amp;" "&amp;TEXT($B21,IF($B21="","","0")),Spreadsheet2,8,FALSE),0)</f>
        <v>4306145</v>
      </c>
      <c r="K21" s="53">
        <f>ROUND(VLOOKUP($H$9&amp;" "&amp;TEXT($B21,IF($B21="","","0")),Spreadsheet2,9,FALSE),0)</f>
        <v>197027219</v>
      </c>
    </row>
    <row r="22" spans="1:13" ht="14.25" customHeight="1">
      <c r="A22" s="9" t="s">
        <v>21</v>
      </c>
      <c r="B22" s="54">
        <f>INPUT!$A$5</f>
        <v>2025</v>
      </c>
      <c r="C22" s="53">
        <f>ROUND(VLOOKUP($C$9&amp;" "&amp;TEXT($B22,IF($B22="","","0")),Spreadsheet1,10,FALSE),0)</f>
        <v>908950</v>
      </c>
      <c r="D22" s="53">
        <f>ROUND(VLOOKUP($C$9&amp;" "&amp;TEXT($B22,IF($B22="","","0")),Spreadsheet1,11,FALSE),0)</f>
        <v>185863</v>
      </c>
      <c r="E22" s="53">
        <f>ROUND(VLOOKUP($C$9&amp;" "&amp;TEXT($B22,IF($B22="","","0")),Spreadsheet1,12,FALSE),0)</f>
        <v>94898</v>
      </c>
      <c r="F22" s="53">
        <f>ROUND(VLOOKUP($C$9&amp;" "&amp;TEXT($B22,IF($B22="","","0")),Spreadsheet1,13,FALSE),0)</f>
        <v>14510080</v>
      </c>
      <c r="G22" s="20"/>
      <c r="H22" s="53">
        <f>ROUND(VLOOKUP($H$9&amp;" "&amp;TEXT($B22,IF($B22="","","0")),Spreadsheet2,10,FALSE),0)</f>
        <v>3726524</v>
      </c>
      <c r="I22" s="53">
        <f>ROUND(VLOOKUP($H$9&amp;" "&amp;TEXT($B22,IF($B22="","","0")),Spreadsheet2,11,FALSE),0)</f>
        <v>813749</v>
      </c>
      <c r="J22" s="53">
        <f>ROUND(VLOOKUP($H$9&amp;" "&amp;TEXT($B22,IF($B22="","","0")),Spreadsheet2,12,FALSE),0)</f>
        <v>374324</v>
      </c>
      <c r="K22" s="53">
        <f>ROUND(VLOOKUP($H$9&amp;" "&amp;TEXT($B22,IF($B22="","","0")),Spreadsheet2,13,FALSE),0)</f>
        <v>56456369</v>
      </c>
      <c r="M22" s="1"/>
    </row>
    <row r="23" spans="1:13" ht="12.75" customHeight="1">
      <c r="A23" s="10"/>
      <c r="B23" s="54">
        <f>INPUT!$A$6</f>
        <v>2024</v>
      </c>
      <c r="C23" s="53">
        <f>ROUND(VLOOKUP($C$9&amp;" "&amp;TEXT($B23,IF($B23="","","0")),Spreadsheet1,10,FALSE),0)</f>
        <v>909158</v>
      </c>
      <c r="D23" s="53">
        <f>ROUND(VLOOKUP($C$9&amp;" "&amp;TEXT($B23,IF($B23="","","0")),Spreadsheet1,11,FALSE),0)</f>
        <v>181893</v>
      </c>
      <c r="E23" s="53">
        <f>ROUND(VLOOKUP($C$9&amp;" "&amp;TEXT($B23,IF($B23="","","0")),Spreadsheet1,12,FALSE),0)</f>
        <v>63267</v>
      </c>
      <c r="F23" s="53">
        <f>ROUND(VLOOKUP($C$9&amp;" "&amp;TEXT($B23,IF($B23="","","0")),Spreadsheet1,13,FALSE),0)</f>
        <v>14101670</v>
      </c>
      <c r="G23" s="14"/>
      <c r="H23" s="53">
        <f>ROUND(VLOOKUP($H$9&amp;" "&amp;TEXT($B23,IF($B23="","","0")),Spreadsheet2,10,FALSE),0)</f>
        <v>3755378</v>
      </c>
      <c r="I23" s="53">
        <f>ROUND(VLOOKUP($H$9&amp;" "&amp;TEXT($B23,IF($B23="","","0")),Spreadsheet2,11,FALSE),0)</f>
        <v>873397</v>
      </c>
      <c r="J23" s="53">
        <f>ROUND(VLOOKUP($H$9&amp;" "&amp;TEXT($B23,IF($B23="","","0")),Spreadsheet2,12,FALSE),0)</f>
        <v>401927</v>
      </c>
      <c r="K23" s="53">
        <f>ROUND(VLOOKUP($H$9&amp;" "&amp;TEXT($B23,IF($B23="","","0")),Spreadsheet2,13,FALSE),0)</f>
        <v>56101103</v>
      </c>
    </row>
    <row r="24" spans="1:13" ht="12.75" customHeight="1">
      <c r="A24" s="9" t="s">
        <v>23</v>
      </c>
      <c r="B24" s="54">
        <f>INPUT!$A$5</f>
        <v>2025</v>
      </c>
      <c r="C24" s="53">
        <f>ROUND(VLOOKUP($C$9&amp;" "&amp;TEXT($B24,IF($B24="","","0")),Spreadsheet1,18,FALSE),0)</f>
        <v>2993257</v>
      </c>
      <c r="D24" s="53">
        <f>ROUND(VLOOKUP($C$9&amp;" "&amp;TEXT($B24,IF($B24="","","0")),Spreadsheet1,19,FALSE),0)</f>
        <v>690811</v>
      </c>
      <c r="E24" s="53">
        <f>ROUND(VLOOKUP($C$9&amp;" "&amp;TEXT($B24,IF($B24="","","0")),Spreadsheet1,20,FALSE),0)</f>
        <v>1006076</v>
      </c>
      <c r="F24" s="53">
        <f>ROUND(VLOOKUP($C$9&amp;" "&amp;TEXT($B24,IF($B24="","","0")),Spreadsheet1,21,FALSE),0)</f>
        <v>44909199</v>
      </c>
      <c r="G24" s="13"/>
      <c r="H24" s="53">
        <f>ROUND(VLOOKUP($H$9&amp;" "&amp;TEXT($B24,IF($B24="","","0")),Spreadsheet2,18,FALSE),0)</f>
        <v>12111680</v>
      </c>
      <c r="I24" s="53">
        <f>ROUND(VLOOKUP($H$9&amp;" "&amp;TEXT($B24,IF($B24="","","0")),Spreadsheet2,19,FALSE),0)</f>
        <v>2730388</v>
      </c>
      <c r="J24" s="53">
        <f>ROUND(VLOOKUP($H$9&amp;" "&amp;TEXT($B24,IF($B24="","","0")),Spreadsheet2,20,FALSE),0)</f>
        <v>4363466</v>
      </c>
      <c r="K24" s="53">
        <f>ROUND(VLOOKUP($H$9&amp;" "&amp;TEXT($B24,IF($B24="","","0")),Spreadsheet2,21,FALSE),0)</f>
        <v>178676313</v>
      </c>
    </row>
    <row r="25" spans="1:13" ht="14.25" customHeight="1">
      <c r="A25" s="10"/>
      <c r="B25" s="54">
        <f>INPUT!$A$6</f>
        <v>2024</v>
      </c>
      <c r="C25" s="53">
        <f>ROUND(VLOOKUP($C$9&amp;" "&amp;TEXT($B25,IF($B25="","","0")),Spreadsheet1,18,FALSE),0)</f>
        <v>3004044</v>
      </c>
      <c r="D25" s="53">
        <f>ROUND(VLOOKUP($C$9&amp;" "&amp;TEXT($B25,IF($B25="","","0")),Spreadsheet1,19,FALSE),0)</f>
        <v>26957</v>
      </c>
      <c r="E25" s="53">
        <f>ROUND(VLOOKUP($C$9&amp;" "&amp;TEXT($B25,IF($B25="","","0")),Spreadsheet1,20,FALSE),0)</f>
        <v>314546</v>
      </c>
      <c r="F25" s="53">
        <f>ROUND(VLOOKUP($C$9&amp;" "&amp;TEXT($B25,IF($B25="","","0")),Spreadsheet1,21,FALSE),0)</f>
        <v>44272086</v>
      </c>
      <c r="G25" s="14"/>
      <c r="H25" s="53">
        <f>ROUND(VLOOKUP($H$9&amp;" "&amp;TEXT($B25,IF($B25="","","0")),Spreadsheet2,18,FALSE),0)</f>
        <v>12028040</v>
      </c>
      <c r="I25" s="53">
        <f>ROUND(VLOOKUP($H$9&amp;" "&amp;TEXT($B25,IF($B25="","","0")),Spreadsheet2,19,FALSE),0)</f>
        <v>1194571</v>
      </c>
      <c r="J25" s="53">
        <f>ROUND(VLOOKUP($H$9&amp;" "&amp;TEXT($B25,IF($B25="","","0")),Spreadsheet2,20,FALSE),0)</f>
        <v>2423395</v>
      </c>
      <c r="K25" s="53">
        <f>ROUND(VLOOKUP($H$9&amp;" "&amp;TEXT($B25,IF($B25="","","0")),Spreadsheet2,21,FALSE),0)</f>
        <v>176423060</v>
      </c>
    </row>
    <row r="26" spans="1:13" ht="12.75" customHeight="1">
      <c r="A26" s="52" t="s">
        <v>147</v>
      </c>
      <c r="B26" s="54">
        <f>INPUT!$A$5</f>
        <v>2025</v>
      </c>
      <c r="C26" s="53">
        <f>ROUND(VLOOKUP($C$9&amp;" "&amp;TEXT($B26,IF($B26="","","0")),Spreadsheet1,26,FALSE),0)</f>
        <v>913009</v>
      </c>
      <c r="D26" s="53">
        <f>ROUND(VLOOKUP($C$9&amp;" "&amp;TEXT($B26,IF($B26="","","0")),Spreadsheet1,27,FALSE),0)</f>
        <v>212873</v>
      </c>
      <c r="E26" s="53">
        <f>ROUND(VLOOKUP($C$9&amp;" "&amp;TEXT($B26,IF($B26="","","0")),Spreadsheet1,28,FALSE),0)</f>
        <v>186676</v>
      </c>
      <c r="F26" s="53">
        <f>ROUND(VLOOKUP($C$9&amp;" "&amp;TEXT($B26,IF($B26="","","0")),Spreadsheet1,29,FALSE),0)</f>
        <v>18585707</v>
      </c>
      <c r="G26" s="13"/>
      <c r="H26" s="53">
        <f>ROUND(VLOOKUP($H$9&amp;" "&amp;TEXT($B26,IF($B26="","","0")),Spreadsheet2,26,FALSE),0)</f>
        <v>3642121</v>
      </c>
      <c r="I26" s="53">
        <f>ROUND(VLOOKUP($H$9&amp;" "&amp;TEXT($B26,IF($B26="","","0")),Spreadsheet2,27,FALSE),0)</f>
        <v>865807</v>
      </c>
      <c r="J26" s="53">
        <f>ROUND(VLOOKUP($H$9&amp;" "&amp;TEXT($B26,IF($B26="","","0")),Spreadsheet2,28,FALSE),0)</f>
        <v>801738</v>
      </c>
      <c r="K26" s="53">
        <f>ROUND(VLOOKUP($H$9&amp;" "&amp;TEXT($B26,IF($B26="","","0")),Spreadsheet2,29,FALSE),0)</f>
        <v>73991527</v>
      </c>
    </row>
    <row r="27" spans="1:13" ht="14.25" customHeight="1">
      <c r="A27" s="10"/>
      <c r="B27" s="54">
        <f>INPUT!$A$6</f>
        <v>2024</v>
      </c>
      <c r="C27" s="53">
        <f>ROUND(VLOOKUP($C$9&amp;" "&amp;TEXT($B27,IF($B27="","","0")),Spreadsheet1,26,FALSE),0)</f>
        <v>868556</v>
      </c>
      <c r="D27" s="53">
        <f>ROUND(VLOOKUP($C$9&amp;" "&amp;TEXT($B27,IF($B27="","","0")),Spreadsheet1,27,FALSE),0)</f>
        <v>178878</v>
      </c>
      <c r="E27" s="53">
        <f>ROUND(VLOOKUP($C$9&amp;" "&amp;TEXT($B27,IF($B27="","","0")),Spreadsheet1,28,FALSE),0)</f>
        <v>163031</v>
      </c>
      <c r="F27" s="53">
        <f>ROUND(VLOOKUP($C$9&amp;" "&amp;TEXT($B27,IF($B27="","","0")),Spreadsheet1,29,FALSE),0)</f>
        <v>18162006</v>
      </c>
      <c r="G27" s="14"/>
      <c r="H27" s="70" t="s">
        <v>148</v>
      </c>
      <c r="I27" s="70" t="s">
        <v>148</v>
      </c>
      <c r="J27" s="70" t="s">
        <v>148</v>
      </c>
      <c r="K27" s="70" t="s">
        <v>148</v>
      </c>
    </row>
    <row r="28" spans="1:13" ht="12" customHeight="1">
      <c r="A28" s="9" t="s">
        <v>25</v>
      </c>
      <c r="B28" s="54">
        <f>INPUT!$A$5</f>
        <v>2025</v>
      </c>
      <c r="C28" s="53">
        <f>ROUND(VLOOKUP($C$9&amp;" "&amp;TEXT($B28,IF($B28="","","0")),Spreadsheet1,30,FALSE),0)</f>
        <v>6011166</v>
      </c>
      <c r="D28" s="53">
        <f>ROUND(VLOOKUP($C$9&amp;" "&amp;TEXT($B28,IF($B28="","","0")),Spreadsheet1,31,FALSE),0)</f>
        <v>1744552</v>
      </c>
      <c r="E28" s="53">
        <f>ROUND(VLOOKUP($C$9&amp;" "&amp;TEXT($B28,IF($B28="","","0")),Spreadsheet1,32,FALSE),0)</f>
        <v>1849609</v>
      </c>
      <c r="F28" s="53">
        <f>ROUND(VLOOKUP($C$9&amp;" "&amp;TEXT($B28,IF($B28="","","0")),Spreadsheet1,33,FALSE),0)</f>
        <v>104011000</v>
      </c>
      <c r="G28" s="13"/>
      <c r="H28" s="53">
        <f>ROUND(VLOOKUP($H$9&amp;" "&amp;TEXT($B28,IF($B28="","","0")),Spreadsheet2,30,FALSE),0)</f>
        <v>24184262</v>
      </c>
      <c r="I28" s="53">
        <f>ROUND(VLOOKUP($H$9&amp;" "&amp;TEXT($B28,IF($B28="","","0")),Spreadsheet2,31,FALSE),0)</f>
        <v>6972869</v>
      </c>
      <c r="J28" s="53">
        <f>ROUND(VLOOKUP($H$9&amp;" "&amp;TEXT($B28,IF($B28="","","0")),Spreadsheet2,32,FALSE),0)</f>
        <v>7429813</v>
      </c>
      <c r="K28" s="53">
        <f>ROUND(VLOOKUP($H$9&amp;" "&amp;TEXT($B28,IF($B28="","","0")),Spreadsheet2,33,FALSE),0)</f>
        <v>412462000</v>
      </c>
    </row>
    <row r="29" spans="1:13" ht="14.25" customHeight="1">
      <c r="A29" s="10"/>
      <c r="B29" s="54">
        <f>INPUT!$A$6</f>
        <v>2024</v>
      </c>
      <c r="C29" s="53">
        <f>ROUND(VLOOKUP($C$9&amp;" "&amp;TEXT($B29,IF($B29="","","0")),Spreadsheet1,30,FALSE),0)</f>
        <v>6020198</v>
      </c>
      <c r="D29" s="53">
        <f>ROUND(VLOOKUP($C$9&amp;" "&amp;TEXT($B29,IF($B29="","","0")),Spreadsheet1,31,FALSE),0)</f>
        <v>1763241</v>
      </c>
      <c r="E29" s="53">
        <f>ROUND(VLOOKUP($C$9&amp;" "&amp;TEXT($B29,IF($B29="","","0")),Spreadsheet1,32,FALSE),0)</f>
        <v>1819347</v>
      </c>
      <c r="F29" s="53">
        <f>ROUND(VLOOKUP($C$9&amp;" "&amp;TEXT($B29,IF($B29="","","0")),Spreadsheet1,33,FALSE),0)</f>
        <v>101265000</v>
      </c>
      <c r="G29" s="14"/>
      <c r="H29" s="53">
        <f>ROUND(VLOOKUP($H$9&amp;" "&amp;TEXT($B29,IF($B29="","","0")),Spreadsheet2,30,FALSE),0)</f>
        <v>24012119</v>
      </c>
      <c r="I29" s="53">
        <f>ROUND(VLOOKUP($H$9&amp;" "&amp;TEXT($B29,IF($B29="","","0")),Spreadsheet2,31,FALSE),0)</f>
        <v>6829927</v>
      </c>
      <c r="J29" s="53">
        <f>ROUND(VLOOKUP($H$9&amp;" "&amp;TEXT($B29,IF($B29="","","0")),Spreadsheet2,32,FALSE),0)</f>
        <v>7132897</v>
      </c>
      <c r="K29" s="53">
        <f>ROUND(VLOOKUP($H$9&amp;" "&amp;TEXT($B29,IF($B29="","","0")),Spreadsheet2,33,FALSE),0)</f>
        <v>410738000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87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36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151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 ht="10" customHeight="1">
      <c r="A56" s="72" t="s">
        <v>149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1"/>
      <c r="M56" s="1"/>
    </row>
    <row r="57" spans="1:13">
      <c r="A57" s="73" t="s">
        <v>150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1"/>
      <c r="M57" s="1"/>
    </row>
    <row r="58" spans="1:1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1"/>
      <c r="M58" s="1"/>
    </row>
    <row r="59" spans="1:13" ht="20.25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2026-08-11T18:28:12Z</dcterms:modified>
</cp:coreProperties>
</file>