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tbgov-my.sharepoint.com/personal/douglas_pelsey2_stb_gov/Documents/Desktop/Reference/Templates/Earnings Compilation/Final Files/"/>
    </mc:Choice>
  </mc:AlternateContent>
  <xr:revisionPtr revIDLastSave="19" documentId="8_{7866FCE5-83F6-48E0-96E0-8822E61A539E}" xr6:coauthVersionLast="47" xr6:coauthVersionMax="47" xr10:uidLastSave="{94A36CAA-CA06-475C-812D-5BD4D3F375DD}"/>
  <bookViews>
    <workbookView xWindow="-110" yWindow="-110" windowWidth="19420" windowHeight="11500" tabRatio="767" xr2:uid="{DF289F64-6901-49D0-926C-AC2FABEE16AA}"/>
  </bookViews>
  <sheets>
    <sheet name="INPUT" sheetId="14" r:id="rId1"/>
    <sheet name="Output" sheetId="13" r:id="rId2"/>
  </sheets>
  <definedNames>
    <definedName name="Spreadsheet1">INPUT!$A$10:$AG$64</definedName>
    <definedName name="Spreadsheet2">INPUT!$A$68:$AG$224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9" i="14" l="1"/>
  <c r="A3" i="14"/>
  <c r="A4" i="14"/>
  <c r="A5" i="14"/>
  <c r="A6" i="14"/>
  <c r="B68" i="14"/>
  <c r="C68" i="14"/>
  <c r="D68" i="14"/>
  <c r="E68" i="14"/>
  <c r="F68" i="14"/>
  <c r="G68" i="14"/>
  <c r="H68" i="14"/>
  <c r="I68" i="14"/>
  <c r="J68" i="14"/>
  <c r="K68" i="14"/>
  <c r="L68" i="14"/>
  <c r="M68" i="14"/>
  <c r="N68" i="14"/>
  <c r="O68" i="14"/>
  <c r="P68" i="14"/>
  <c r="Q68" i="14"/>
  <c r="R68" i="14"/>
  <c r="S68" i="14"/>
  <c r="T68" i="14"/>
  <c r="U68" i="14"/>
  <c r="V68" i="14"/>
  <c r="W68" i="14"/>
  <c r="X68" i="14"/>
  <c r="Y68" i="14"/>
  <c r="AD68" i="14"/>
  <c r="AE68" i="14"/>
  <c r="AF68" i="14"/>
  <c r="AG68" i="14"/>
  <c r="B69" i="14"/>
  <c r="C69" i="14"/>
  <c r="D69" i="14"/>
  <c r="E69" i="14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T69" i="14"/>
  <c r="U69" i="14"/>
  <c r="V69" i="14"/>
  <c r="W69" i="14"/>
  <c r="X69" i="14"/>
  <c r="Y69" i="14"/>
  <c r="AD69" i="14"/>
  <c r="AE69" i="14"/>
  <c r="AF69" i="14"/>
  <c r="AG69" i="14"/>
  <c r="B70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R70" i="14"/>
  <c r="S70" i="14"/>
  <c r="T70" i="14"/>
  <c r="U70" i="14"/>
  <c r="V70" i="14"/>
  <c r="W70" i="14"/>
  <c r="X70" i="14"/>
  <c r="Y70" i="14"/>
  <c r="AD70" i="14"/>
  <c r="AE70" i="14"/>
  <c r="AF70" i="14"/>
  <c r="AG70" i="14"/>
  <c r="B71" i="14"/>
  <c r="C71" i="14"/>
  <c r="D71" i="14"/>
  <c r="E71" i="14"/>
  <c r="F71" i="14"/>
  <c r="G71" i="14"/>
  <c r="H71" i="14"/>
  <c r="I71" i="14"/>
  <c r="J71" i="14"/>
  <c r="K71" i="14"/>
  <c r="L71" i="14"/>
  <c r="M71" i="14"/>
  <c r="N71" i="14"/>
  <c r="O71" i="14"/>
  <c r="P71" i="14"/>
  <c r="Q71" i="14"/>
  <c r="R71" i="14"/>
  <c r="S71" i="14"/>
  <c r="T71" i="14"/>
  <c r="U71" i="14"/>
  <c r="V71" i="14"/>
  <c r="W71" i="14"/>
  <c r="X71" i="14"/>
  <c r="Y71" i="14"/>
  <c r="AD71" i="14"/>
  <c r="AE71" i="14"/>
  <c r="AF71" i="14"/>
  <c r="AG71" i="14"/>
  <c r="B72" i="14"/>
  <c r="C72" i="14"/>
  <c r="D72" i="14"/>
  <c r="E72" i="14"/>
  <c r="F72" i="14"/>
  <c r="G72" i="14"/>
  <c r="H72" i="14"/>
  <c r="I72" i="14"/>
  <c r="J72" i="14"/>
  <c r="K72" i="14"/>
  <c r="L72" i="14"/>
  <c r="M72" i="14"/>
  <c r="N72" i="14"/>
  <c r="O72" i="14"/>
  <c r="P72" i="14"/>
  <c r="Q72" i="14"/>
  <c r="R72" i="14"/>
  <c r="S72" i="14"/>
  <c r="T72" i="14"/>
  <c r="U72" i="14"/>
  <c r="V72" i="14"/>
  <c r="W72" i="14"/>
  <c r="X72" i="14"/>
  <c r="Y72" i="14"/>
  <c r="AD72" i="14"/>
  <c r="AE72" i="14"/>
  <c r="AF72" i="14"/>
  <c r="AG72" i="14"/>
  <c r="B73" i="14"/>
  <c r="C73" i="14"/>
  <c r="D73" i="14"/>
  <c r="E73" i="14"/>
  <c r="F73" i="14"/>
  <c r="G73" i="14"/>
  <c r="H73" i="14"/>
  <c r="I73" i="14"/>
  <c r="J73" i="14"/>
  <c r="K73" i="14"/>
  <c r="L73" i="14"/>
  <c r="M73" i="14"/>
  <c r="N73" i="14"/>
  <c r="O73" i="14"/>
  <c r="P73" i="14"/>
  <c r="Q73" i="14"/>
  <c r="R73" i="14"/>
  <c r="S73" i="14"/>
  <c r="T73" i="14"/>
  <c r="U73" i="14"/>
  <c r="V73" i="14"/>
  <c r="W73" i="14"/>
  <c r="X73" i="14"/>
  <c r="Y73" i="14"/>
  <c r="AD73" i="14"/>
  <c r="AE73" i="14"/>
  <c r="AF73" i="14"/>
  <c r="AG73" i="14"/>
  <c r="B74" i="14"/>
  <c r="C74" i="14"/>
  <c r="D74" i="14"/>
  <c r="E74" i="14"/>
  <c r="F74" i="14"/>
  <c r="G74" i="14"/>
  <c r="H74" i="14"/>
  <c r="I74" i="14"/>
  <c r="J74" i="14"/>
  <c r="K74" i="14"/>
  <c r="L74" i="14"/>
  <c r="M74" i="14"/>
  <c r="N74" i="14"/>
  <c r="O74" i="14"/>
  <c r="P74" i="14"/>
  <c r="Q74" i="14"/>
  <c r="R74" i="14"/>
  <c r="S74" i="14"/>
  <c r="T74" i="14"/>
  <c r="U74" i="14"/>
  <c r="V74" i="14"/>
  <c r="W74" i="14"/>
  <c r="X74" i="14"/>
  <c r="Y74" i="14"/>
  <c r="AD74" i="14"/>
  <c r="AE74" i="14"/>
  <c r="AF74" i="14"/>
  <c r="AG74" i="14"/>
  <c r="B75" i="14"/>
  <c r="C75" i="14"/>
  <c r="D75" i="14"/>
  <c r="E75" i="14"/>
  <c r="F75" i="14"/>
  <c r="G75" i="14"/>
  <c r="H75" i="14"/>
  <c r="I75" i="14"/>
  <c r="J75" i="14"/>
  <c r="K75" i="14"/>
  <c r="L75" i="14"/>
  <c r="M75" i="14"/>
  <c r="N75" i="14"/>
  <c r="O75" i="14"/>
  <c r="P75" i="14"/>
  <c r="Q75" i="14"/>
  <c r="R75" i="14"/>
  <c r="S75" i="14"/>
  <c r="T75" i="14"/>
  <c r="U75" i="14"/>
  <c r="V75" i="14"/>
  <c r="W75" i="14"/>
  <c r="X75" i="14"/>
  <c r="Y75" i="14"/>
  <c r="AD75" i="14"/>
  <c r="AE75" i="14"/>
  <c r="AF75" i="14"/>
  <c r="AG75" i="14"/>
  <c r="B76" i="14"/>
  <c r="C76" i="14"/>
  <c r="D76" i="14"/>
  <c r="E76" i="14"/>
  <c r="F76" i="14"/>
  <c r="G76" i="14"/>
  <c r="H76" i="14"/>
  <c r="I76" i="14"/>
  <c r="J76" i="14"/>
  <c r="K76" i="14"/>
  <c r="L76" i="14"/>
  <c r="M76" i="14"/>
  <c r="N76" i="14"/>
  <c r="O76" i="14"/>
  <c r="P76" i="14"/>
  <c r="Q76" i="14"/>
  <c r="R76" i="14"/>
  <c r="S76" i="14"/>
  <c r="T76" i="14"/>
  <c r="U76" i="14"/>
  <c r="V76" i="14"/>
  <c r="W76" i="14"/>
  <c r="X76" i="14"/>
  <c r="Y76" i="14"/>
  <c r="AD76" i="14"/>
  <c r="AE76" i="14"/>
  <c r="AF76" i="14"/>
  <c r="AG76" i="14"/>
  <c r="B77" i="14"/>
  <c r="C77" i="14"/>
  <c r="D77" i="14"/>
  <c r="E77" i="14"/>
  <c r="F77" i="14"/>
  <c r="G77" i="14"/>
  <c r="H77" i="14"/>
  <c r="I77" i="14"/>
  <c r="J77" i="14"/>
  <c r="K77" i="14"/>
  <c r="L77" i="14"/>
  <c r="M77" i="14"/>
  <c r="N77" i="14"/>
  <c r="O77" i="14"/>
  <c r="P77" i="14"/>
  <c r="Q77" i="14"/>
  <c r="R77" i="14"/>
  <c r="S77" i="14"/>
  <c r="T77" i="14"/>
  <c r="U77" i="14"/>
  <c r="V77" i="14"/>
  <c r="W77" i="14"/>
  <c r="X77" i="14"/>
  <c r="Y77" i="14"/>
  <c r="AD77" i="14"/>
  <c r="AE77" i="14"/>
  <c r="AF77" i="14"/>
  <c r="AG77" i="14"/>
  <c r="B78" i="14"/>
  <c r="C78" i="14"/>
  <c r="D78" i="14"/>
  <c r="E78" i="14"/>
  <c r="F78" i="14"/>
  <c r="G78" i="14"/>
  <c r="H78" i="14"/>
  <c r="I78" i="14"/>
  <c r="J78" i="14"/>
  <c r="K78" i="14"/>
  <c r="L78" i="14"/>
  <c r="M78" i="14"/>
  <c r="N78" i="14"/>
  <c r="O78" i="14"/>
  <c r="P78" i="14"/>
  <c r="Q78" i="14"/>
  <c r="R78" i="14"/>
  <c r="S78" i="14"/>
  <c r="T78" i="14"/>
  <c r="U78" i="14"/>
  <c r="V78" i="14"/>
  <c r="W78" i="14"/>
  <c r="X78" i="14"/>
  <c r="Y78" i="14"/>
  <c r="AD78" i="14"/>
  <c r="AE78" i="14"/>
  <c r="AF78" i="14"/>
  <c r="AG78" i="14"/>
  <c r="B79" i="14"/>
  <c r="C79" i="14"/>
  <c r="D79" i="14"/>
  <c r="E79" i="14"/>
  <c r="F79" i="14"/>
  <c r="G79" i="14"/>
  <c r="H79" i="14"/>
  <c r="I79" i="14"/>
  <c r="J79" i="14"/>
  <c r="K79" i="14"/>
  <c r="L79" i="14"/>
  <c r="M79" i="14"/>
  <c r="N79" i="14"/>
  <c r="O79" i="14"/>
  <c r="P79" i="14"/>
  <c r="Q79" i="14"/>
  <c r="R79" i="14"/>
  <c r="S79" i="14"/>
  <c r="T79" i="14"/>
  <c r="U79" i="14"/>
  <c r="V79" i="14"/>
  <c r="W79" i="14"/>
  <c r="X79" i="14"/>
  <c r="Y79" i="14"/>
  <c r="AD79" i="14"/>
  <c r="AE79" i="14"/>
  <c r="AF79" i="14"/>
  <c r="AG79" i="14"/>
  <c r="B80" i="14"/>
  <c r="C80" i="14"/>
  <c r="D80" i="14"/>
  <c r="E80" i="14"/>
  <c r="F80" i="14"/>
  <c r="G80" i="14"/>
  <c r="H80" i="14"/>
  <c r="I80" i="14"/>
  <c r="J80" i="14"/>
  <c r="K80" i="14"/>
  <c r="L80" i="14"/>
  <c r="M80" i="14"/>
  <c r="N80" i="14"/>
  <c r="O80" i="14"/>
  <c r="P80" i="14"/>
  <c r="Q80" i="14"/>
  <c r="R80" i="14"/>
  <c r="S80" i="14"/>
  <c r="T80" i="14"/>
  <c r="U80" i="14"/>
  <c r="V80" i="14"/>
  <c r="W80" i="14"/>
  <c r="X80" i="14"/>
  <c r="Y80" i="14"/>
  <c r="AD80" i="14"/>
  <c r="AE80" i="14"/>
  <c r="AF80" i="14"/>
  <c r="AG80" i="14"/>
  <c r="B81" i="14"/>
  <c r="C81" i="14"/>
  <c r="D81" i="14"/>
  <c r="E81" i="14"/>
  <c r="F81" i="14"/>
  <c r="G81" i="14"/>
  <c r="H81" i="14"/>
  <c r="I81" i="14"/>
  <c r="J81" i="14"/>
  <c r="K81" i="14"/>
  <c r="L81" i="14"/>
  <c r="M81" i="14"/>
  <c r="N81" i="14"/>
  <c r="O81" i="14"/>
  <c r="P81" i="14"/>
  <c r="Q81" i="14"/>
  <c r="R81" i="14"/>
  <c r="S81" i="14"/>
  <c r="T81" i="14"/>
  <c r="U81" i="14"/>
  <c r="V81" i="14"/>
  <c r="W81" i="14"/>
  <c r="X81" i="14"/>
  <c r="Y81" i="14"/>
  <c r="AD81" i="14"/>
  <c r="AE81" i="14"/>
  <c r="AF81" i="14"/>
  <c r="AG81" i="14"/>
  <c r="B82" i="14"/>
  <c r="C82" i="14"/>
  <c r="D82" i="14"/>
  <c r="E82" i="14"/>
  <c r="F82" i="14"/>
  <c r="G82" i="14"/>
  <c r="H82" i="14"/>
  <c r="I82" i="14"/>
  <c r="J82" i="14"/>
  <c r="K82" i="14"/>
  <c r="L82" i="14"/>
  <c r="M82" i="14"/>
  <c r="N82" i="14"/>
  <c r="O82" i="14"/>
  <c r="P82" i="14"/>
  <c r="Q82" i="14"/>
  <c r="R82" i="14"/>
  <c r="S82" i="14"/>
  <c r="T82" i="14"/>
  <c r="U82" i="14"/>
  <c r="V82" i="14"/>
  <c r="W82" i="14"/>
  <c r="X82" i="14"/>
  <c r="Y82" i="14"/>
  <c r="AD82" i="14"/>
  <c r="AE82" i="14"/>
  <c r="AF82" i="14"/>
  <c r="AG82" i="14"/>
  <c r="B83" i="14"/>
  <c r="C83" i="14"/>
  <c r="D83" i="14"/>
  <c r="E83" i="14"/>
  <c r="F83" i="14"/>
  <c r="G83" i="14"/>
  <c r="H83" i="14"/>
  <c r="I83" i="14"/>
  <c r="J83" i="14"/>
  <c r="K83" i="14"/>
  <c r="L83" i="14"/>
  <c r="M83" i="14"/>
  <c r="N83" i="14"/>
  <c r="O83" i="14"/>
  <c r="P83" i="14"/>
  <c r="Q83" i="14"/>
  <c r="R83" i="14"/>
  <c r="S83" i="14"/>
  <c r="T83" i="14"/>
  <c r="U83" i="14"/>
  <c r="V83" i="14"/>
  <c r="W83" i="14"/>
  <c r="X83" i="14"/>
  <c r="Y83" i="14"/>
  <c r="AD83" i="14"/>
  <c r="AE83" i="14"/>
  <c r="AF83" i="14"/>
  <c r="AG83" i="14"/>
  <c r="B84" i="14"/>
  <c r="C84" i="14"/>
  <c r="D84" i="14"/>
  <c r="E84" i="14"/>
  <c r="F84" i="14"/>
  <c r="G84" i="14"/>
  <c r="H84" i="14"/>
  <c r="I84" i="14"/>
  <c r="J84" i="14"/>
  <c r="K84" i="14"/>
  <c r="L84" i="14"/>
  <c r="M84" i="14"/>
  <c r="N84" i="14"/>
  <c r="O84" i="14"/>
  <c r="P84" i="14"/>
  <c r="Q84" i="14"/>
  <c r="R84" i="14"/>
  <c r="S84" i="14"/>
  <c r="T84" i="14"/>
  <c r="U84" i="14"/>
  <c r="V84" i="14"/>
  <c r="W84" i="14"/>
  <c r="X84" i="14"/>
  <c r="Y84" i="14"/>
  <c r="AD84" i="14"/>
  <c r="AE84" i="14"/>
  <c r="AF84" i="14"/>
  <c r="AG84" i="14"/>
  <c r="B85" i="14"/>
  <c r="C85" i="14"/>
  <c r="D85" i="14"/>
  <c r="E85" i="14"/>
  <c r="F85" i="14"/>
  <c r="G85" i="14"/>
  <c r="H85" i="14"/>
  <c r="I85" i="14"/>
  <c r="J85" i="14"/>
  <c r="K85" i="14"/>
  <c r="L85" i="14"/>
  <c r="M85" i="14"/>
  <c r="N85" i="14"/>
  <c r="O85" i="14"/>
  <c r="P85" i="14"/>
  <c r="Q85" i="14"/>
  <c r="R85" i="14"/>
  <c r="S85" i="14"/>
  <c r="T85" i="14"/>
  <c r="U85" i="14"/>
  <c r="V85" i="14"/>
  <c r="W85" i="14"/>
  <c r="X85" i="14"/>
  <c r="Y85" i="14"/>
  <c r="AD85" i="14"/>
  <c r="AE85" i="14"/>
  <c r="AF85" i="14"/>
  <c r="AG85" i="14"/>
  <c r="B86" i="14"/>
  <c r="C86" i="14"/>
  <c r="D86" i="14"/>
  <c r="E86" i="14"/>
  <c r="F86" i="14"/>
  <c r="G86" i="14"/>
  <c r="H86" i="14"/>
  <c r="I86" i="14"/>
  <c r="J86" i="14"/>
  <c r="K86" i="14"/>
  <c r="L86" i="14"/>
  <c r="M86" i="14"/>
  <c r="N86" i="14"/>
  <c r="O86" i="14"/>
  <c r="P86" i="14"/>
  <c r="Q86" i="14"/>
  <c r="R86" i="14"/>
  <c r="S86" i="14"/>
  <c r="T86" i="14"/>
  <c r="U86" i="14"/>
  <c r="V86" i="14"/>
  <c r="W86" i="14"/>
  <c r="X86" i="14"/>
  <c r="Y86" i="14"/>
  <c r="AD86" i="14"/>
  <c r="AE86" i="14"/>
  <c r="AF86" i="14"/>
  <c r="AG86" i="14"/>
  <c r="B87" i="14"/>
  <c r="D87" i="14"/>
  <c r="E87" i="14"/>
  <c r="F87" i="14"/>
  <c r="G87" i="14"/>
  <c r="H87" i="14"/>
  <c r="J87" i="14"/>
  <c r="K87" i="14"/>
  <c r="L87" i="14"/>
  <c r="M87" i="14"/>
  <c r="N87" i="14"/>
  <c r="O87" i="14"/>
  <c r="P87" i="14"/>
  <c r="Q87" i="14"/>
  <c r="R87" i="14"/>
  <c r="S87" i="14"/>
  <c r="T87" i="14"/>
  <c r="U87" i="14"/>
  <c r="V87" i="14"/>
  <c r="W87" i="14"/>
  <c r="X87" i="14"/>
  <c r="Y87" i="14"/>
  <c r="AD87" i="14"/>
  <c r="AE87" i="14"/>
  <c r="AF87" i="14"/>
  <c r="AG87" i="14"/>
  <c r="B88" i="14"/>
  <c r="C88" i="14"/>
  <c r="D88" i="14"/>
  <c r="E88" i="14"/>
  <c r="F88" i="14"/>
  <c r="G88" i="14"/>
  <c r="H88" i="14"/>
  <c r="I88" i="14"/>
  <c r="J88" i="14"/>
  <c r="K88" i="14"/>
  <c r="L88" i="14"/>
  <c r="M88" i="14"/>
  <c r="N88" i="14"/>
  <c r="O88" i="14"/>
  <c r="P88" i="14"/>
  <c r="Q88" i="14"/>
  <c r="R88" i="14"/>
  <c r="S88" i="14"/>
  <c r="T88" i="14"/>
  <c r="U88" i="14"/>
  <c r="V88" i="14"/>
  <c r="W88" i="14"/>
  <c r="X88" i="14"/>
  <c r="Y88" i="14"/>
  <c r="AD88" i="14"/>
  <c r="AE88" i="14"/>
  <c r="AF88" i="14"/>
  <c r="AG88" i="14"/>
  <c r="B89" i="14"/>
  <c r="C89" i="14"/>
  <c r="D89" i="14"/>
  <c r="E89" i="14"/>
  <c r="F89" i="14"/>
  <c r="G89" i="14"/>
  <c r="H89" i="14"/>
  <c r="I89" i="14"/>
  <c r="J89" i="14"/>
  <c r="K89" i="14"/>
  <c r="L89" i="14"/>
  <c r="M89" i="14"/>
  <c r="N89" i="14"/>
  <c r="O89" i="14"/>
  <c r="P89" i="14"/>
  <c r="Q89" i="14"/>
  <c r="R89" i="14"/>
  <c r="S89" i="14"/>
  <c r="T89" i="14"/>
  <c r="U89" i="14"/>
  <c r="V89" i="14"/>
  <c r="W89" i="14"/>
  <c r="X89" i="14"/>
  <c r="Y89" i="14"/>
  <c r="AD89" i="14"/>
  <c r="AE89" i="14"/>
  <c r="AF89" i="14"/>
  <c r="AG89" i="14"/>
  <c r="B90" i="14"/>
  <c r="C90" i="14"/>
  <c r="D90" i="14"/>
  <c r="E90" i="14"/>
  <c r="F90" i="14"/>
  <c r="G90" i="14"/>
  <c r="H90" i="14"/>
  <c r="I90" i="14"/>
  <c r="J90" i="14"/>
  <c r="K90" i="14"/>
  <c r="L90" i="14"/>
  <c r="M90" i="14"/>
  <c r="N90" i="14"/>
  <c r="O90" i="14"/>
  <c r="P90" i="14"/>
  <c r="Q90" i="14"/>
  <c r="R90" i="14"/>
  <c r="S90" i="14"/>
  <c r="T90" i="14"/>
  <c r="U90" i="14"/>
  <c r="V90" i="14"/>
  <c r="W90" i="14"/>
  <c r="X90" i="14"/>
  <c r="Y90" i="14"/>
  <c r="AD90" i="14"/>
  <c r="AE90" i="14"/>
  <c r="AF90" i="14"/>
  <c r="AG90" i="14"/>
  <c r="B91" i="14"/>
  <c r="C91" i="14"/>
  <c r="D91" i="14"/>
  <c r="E91" i="14"/>
  <c r="F91" i="14"/>
  <c r="G91" i="14"/>
  <c r="H91" i="14"/>
  <c r="I91" i="14"/>
  <c r="J91" i="14"/>
  <c r="K91" i="14"/>
  <c r="L91" i="14"/>
  <c r="M91" i="14"/>
  <c r="N91" i="14"/>
  <c r="O91" i="14"/>
  <c r="P91" i="14"/>
  <c r="Q91" i="14"/>
  <c r="R91" i="14"/>
  <c r="S91" i="14"/>
  <c r="T91" i="14"/>
  <c r="U91" i="14"/>
  <c r="V91" i="14"/>
  <c r="W91" i="14"/>
  <c r="X91" i="14"/>
  <c r="Y91" i="14"/>
  <c r="AD91" i="14"/>
  <c r="AE91" i="14"/>
  <c r="AF91" i="14"/>
  <c r="AG91" i="14"/>
  <c r="B92" i="14"/>
  <c r="C92" i="14"/>
  <c r="D92" i="14"/>
  <c r="E92" i="14"/>
  <c r="F92" i="14"/>
  <c r="G92" i="14"/>
  <c r="H92" i="14"/>
  <c r="I92" i="14"/>
  <c r="J92" i="14"/>
  <c r="K92" i="14"/>
  <c r="L92" i="14"/>
  <c r="M92" i="14"/>
  <c r="N92" i="14"/>
  <c r="O92" i="14"/>
  <c r="P92" i="14"/>
  <c r="Q92" i="14"/>
  <c r="R92" i="14"/>
  <c r="S92" i="14"/>
  <c r="T92" i="14"/>
  <c r="U92" i="14"/>
  <c r="V92" i="14"/>
  <c r="W92" i="14"/>
  <c r="X92" i="14"/>
  <c r="Y92" i="14"/>
  <c r="AD92" i="14"/>
  <c r="AE92" i="14"/>
  <c r="AF92" i="14"/>
  <c r="AG92" i="14"/>
  <c r="B93" i="14"/>
  <c r="C93" i="14"/>
  <c r="D93" i="14"/>
  <c r="E93" i="14"/>
  <c r="F93" i="14"/>
  <c r="G93" i="14"/>
  <c r="H93" i="14"/>
  <c r="I93" i="14"/>
  <c r="J93" i="14"/>
  <c r="K93" i="14"/>
  <c r="L93" i="14"/>
  <c r="M93" i="14"/>
  <c r="N93" i="14"/>
  <c r="O93" i="14"/>
  <c r="P93" i="14"/>
  <c r="Q93" i="14"/>
  <c r="R93" i="14"/>
  <c r="S93" i="14"/>
  <c r="T93" i="14"/>
  <c r="U93" i="14"/>
  <c r="V93" i="14"/>
  <c r="W93" i="14"/>
  <c r="X93" i="14"/>
  <c r="Y93" i="14"/>
  <c r="AD93" i="14"/>
  <c r="AE93" i="14"/>
  <c r="AF93" i="14"/>
  <c r="AG93" i="14"/>
  <c r="B94" i="14"/>
  <c r="C94" i="14"/>
  <c r="D94" i="14"/>
  <c r="E94" i="14"/>
  <c r="F94" i="14"/>
  <c r="G94" i="14"/>
  <c r="H94" i="14"/>
  <c r="I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X94" i="14"/>
  <c r="Y94" i="14"/>
  <c r="AD94" i="14"/>
  <c r="AE94" i="14"/>
  <c r="AF94" i="14"/>
  <c r="AG94" i="14"/>
  <c r="B95" i="14"/>
  <c r="C95" i="14"/>
  <c r="D95" i="14"/>
  <c r="E95" i="14"/>
  <c r="F95" i="14"/>
  <c r="G95" i="14"/>
  <c r="H95" i="14"/>
  <c r="J95" i="14"/>
  <c r="K95" i="14"/>
  <c r="L95" i="14"/>
  <c r="M95" i="14"/>
  <c r="N95" i="14"/>
  <c r="O95" i="14"/>
  <c r="P95" i="14"/>
  <c r="Q95" i="14"/>
  <c r="R95" i="14"/>
  <c r="S95" i="14"/>
  <c r="T95" i="14"/>
  <c r="U95" i="14"/>
  <c r="V95" i="14"/>
  <c r="W95" i="14"/>
  <c r="X95" i="14"/>
  <c r="Y95" i="14"/>
  <c r="AD95" i="14"/>
  <c r="AE95" i="14"/>
  <c r="AF95" i="14"/>
  <c r="AG95" i="14"/>
  <c r="B96" i="14"/>
  <c r="C96" i="14"/>
  <c r="D96" i="14"/>
  <c r="E96" i="14"/>
  <c r="F96" i="14"/>
  <c r="G96" i="14"/>
  <c r="H96" i="14"/>
  <c r="I96" i="14"/>
  <c r="J96" i="14"/>
  <c r="K96" i="14"/>
  <c r="L96" i="14"/>
  <c r="M96" i="14"/>
  <c r="N96" i="14"/>
  <c r="O96" i="14"/>
  <c r="P96" i="14"/>
  <c r="Q96" i="14"/>
  <c r="R96" i="14"/>
  <c r="S96" i="14"/>
  <c r="T96" i="14"/>
  <c r="U96" i="14"/>
  <c r="V96" i="14"/>
  <c r="W96" i="14"/>
  <c r="X96" i="14"/>
  <c r="Y96" i="14"/>
  <c r="AD96" i="14"/>
  <c r="AE96" i="14"/>
  <c r="AF96" i="14"/>
  <c r="AG96" i="14"/>
  <c r="B97" i="14"/>
  <c r="C97" i="14"/>
  <c r="D97" i="14"/>
  <c r="E97" i="14"/>
  <c r="F97" i="14"/>
  <c r="G97" i="14"/>
  <c r="H97" i="14"/>
  <c r="I97" i="14"/>
  <c r="J97" i="14"/>
  <c r="K97" i="14"/>
  <c r="L97" i="14"/>
  <c r="M97" i="14"/>
  <c r="N97" i="14"/>
  <c r="O97" i="14"/>
  <c r="P97" i="14"/>
  <c r="Q97" i="14"/>
  <c r="R97" i="14"/>
  <c r="S97" i="14"/>
  <c r="T97" i="14"/>
  <c r="U97" i="14"/>
  <c r="V97" i="14"/>
  <c r="W97" i="14"/>
  <c r="X97" i="14"/>
  <c r="Y97" i="14"/>
  <c r="AD97" i="14"/>
  <c r="AE97" i="14"/>
  <c r="AF97" i="14"/>
  <c r="AG97" i="14"/>
  <c r="B98" i="14"/>
  <c r="C98" i="14"/>
  <c r="D98" i="14"/>
  <c r="E98" i="14"/>
  <c r="F98" i="14"/>
  <c r="G98" i="14"/>
  <c r="H98" i="14"/>
  <c r="I98" i="14"/>
  <c r="J98" i="14"/>
  <c r="K98" i="14"/>
  <c r="L98" i="14"/>
  <c r="M98" i="14"/>
  <c r="N98" i="14"/>
  <c r="O98" i="14"/>
  <c r="P98" i="14"/>
  <c r="Q98" i="14"/>
  <c r="R98" i="14"/>
  <c r="S98" i="14"/>
  <c r="T98" i="14"/>
  <c r="U98" i="14"/>
  <c r="V98" i="14"/>
  <c r="W98" i="14"/>
  <c r="X98" i="14"/>
  <c r="Y98" i="14"/>
  <c r="AD98" i="14"/>
  <c r="AE98" i="14"/>
  <c r="AF98" i="14"/>
  <c r="AG98" i="14"/>
  <c r="B99" i="14"/>
  <c r="C99" i="14"/>
  <c r="D99" i="14"/>
  <c r="E99" i="14"/>
  <c r="F99" i="14"/>
  <c r="G99" i="14"/>
  <c r="H99" i="14"/>
  <c r="I99" i="14"/>
  <c r="J99" i="14"/>
  <c r="K99" i="14"/>
  <c r="L99" i="14"/>
  <c r="M99" i="14"/>
  <c r="N99" i="14"/>
  <c r="O99" i="14"/>
  <c r="P99" i="14"/>
  <c r="Q99" i="14"/>
  <c r="R99" i="14"/>
  <c r="S99" i="14"/>
  <c r="T99" i="14"/>
  <c r="U99" i="14"/>
  <c r="V99" i="14"/>
  <c r="W99" i="14"/>
  <c r="X99" i="14"/>
  <c r="Y99" i="14"/>
  <c r="AD99" i="14"/>
  <c r="AE99" i="14"/>
  <c r="AF99" i="14"/>
  <c r="AG99" i="14"/>
  <c r="B100" i="14"/>
  <c r="C100" i="14"/>
  <c r="D100" i="14"/>
  <c r="E100" i="14"/>
  <c r="F100" i="14"/>
  <c r="G100" i="14"/>
  <c r="H100" i="14"/>
  <c r="I100" i="14"/>
  <c r="J100" i="14"/>
  <c r="K100" i="14"/>
  <c r="L100" i="14"/>
  <c r="M100" i="14"/>
  <c r="N100" i="14"/>
  <c r="O100" i="14"/>
  <c r="P100" i="14"/>
  <c r="Q100" i="14"/>
  <c r="R100" i="14"/>
  <c r="S100" i="14"/>
  <c r="T100" i="14"/>
  <c r="U100" i="14"/>
  <c r="V100" i="14"/>
  <c r="W100" i="14"/>
  <c r="X100" i="14"/>
  <c r="Y100" i="14"/>
  <c r="AD100" i="14"/>
  <c r="AE100" i="14"/>
  <c r="AF100" i="14"/>
  <c r="AG100" i="14"/>
  <c r="B101" i="14"/>
  <c r="C101" i="14"/>
  <c r="D101" i="14"/>
  <c r="E101" i="14"/>
  <c r="F101" i="14"/>
  <c r="G101" i="14"/>
  <c r="H101" i="14"/>
  <c r="I101" i="14"/>
  <c r="J101" i="14"/>
  <c r="K101" i="14"/>
  <c r="L101" i="14"/>
  <c r="M101" i="14"/>
  <c r="N101" i="14"/>
  <c r="O101" i="14"/>
  <c r="P101" i="14"/>
  <c r="Q101" i="14"/>
  <c r="R101" i="14"/>
  <c r="S101" i="14"/>
  <c r="T101" i="14"/>
  <c r="U101" i="14"/>
  <c r="V101" i="14"/>
  <c r="W101" i="14"/>
  <c r="X101" i="14"/>
  <c r="Y101" i="14"/>
  <c r="AD101" i="14"/>
  <c r="AE101" i="14"/>
  <c r="AF101" i="14"/>
  <c r="AG101" i="14"/>
  <c r="B102" i="14"/>
  <c r="C102" i="14"/>
  <c r="D102" i="14"/>
  <c r="E102" i="14"/>
  <c r="F102" i="14"/>
  <c r="G102" i="14"/>
  <c r="H102" i="14"/>
  <c r="I102" i="14"/>
  <c r="J102" i="14"/>
  <c r="K102" i="14"/>
  <c r="L102" i="14"/>
  <c r="M102" i="14"/>
  <c r="N102" i="14"/>
  <c r="O102" i="14"/>
  <c r="P102" i="14"/>
  <c r="Q102" i="14"/>
  <c r="R102" i="14"/>
  <c r="S102" i="14"/>
  <c r="T102" i="14"/>
  <c r="U102" i="14"/>
  <c r="V102" i="14"/>
  <c r="W102" i="14"/>
  <c r="X102" i="14"/>
  <c r="Y102" i="14"/>
  <c r="AD102" i="14"/>
  <c r="AE102" i="14"/>
  <c r="AF102" i="14"/>
  <c r="AG102" i="14"/>
  <c r="B103" i="14"/>
  <c r="C103" i="14"/>
  <c r="D103" i="14"/>
  <c r="E103" i="14"/>
  <c r="F103" i="14"/>
  <c r="G103" i="14"/>
  <c r="H103" i="14"/>
  <c r="I103" i="14"/>
  <c r="J103" i="14"/>
  <c r="K103" i="14"/>
  <c r="L103" i="14"/>
  <c r="M103" i="14"/>
  <c r="N103" i="14"/>
  <c r="O103" i="14"/>
  <c r="P103" i="14"/>
  <c r="Q103" i="14"/>
  <c r="R103" i="14"/>
  <c r="S103" i="14"/>
  <c r="T103" i="14"/>
  <c r="U103" i="14"/>
  <c r="V103" i="14"/>
  <c r="W103" i="14"/>
  <c r="X103" i="14"/>
  <c r="Y103" i="14"/>
  <c r="AD103" i="14"/>
  <c r="AE103" i="14"/>
  <c r="AF103" i="14"/>
  <c r="AG103" i="14"/>
  <c r="B104" i="14"/>
  <c r="C104" i="14"/>
  <c r="D104" i="14"/>
  <c r="E104" i="14"/>
  <c r="F104" i="14"/>
  <c r="G104" i="14"/>
  <c r="H104" i="14"/>
  <c r="I104" i="14"/>
  <c r="J104" i="14"/>
  <c r="K104" i="14"/>
  <c r="L104" i="14"/>
  <c r="M104" i="14"/>
  <c r="N104" i="14"/>
  <c r="O104" i="14"/>
  <c r="P104" i="14"/>
  <c r="Q104" i="14"/>
  <c r="R104" i="14"/>
  <c r="S104" i="14"/>
  <c r="T104" i="14"/>
  <c r="U104" i="14"/>
  <c r="V104" i="14"/>
  <c r="W104" i="14"/>
  <c r="X104" i="14"/>
  <c r="Y104" i="14"/>
  <c r="AD104" i="14"/>
  <c r="AE104" i="14"/>
  <c r="AF104" i="14"/>
  <c r="AG104" i="14"/>
  <c r="B105" i="14"/>
  <c r="C105" i="14"/>
  <c r="D105" i="14"/>
  <c r="E105" i="14"/>
  <c r="F105" i="14"/>
  <c r="G105" i="14"/>
  <c r="H105" i="14"/>
  <c r="I105" i="14"/>
  <c r="J105" i="14"/>
  <c r="K105" i="14"/>
  <c r="L105" i="14"/>
  <c r="M105" i="14"/>
  <c r="N105" i="14"/>
  <c r="O105" i="14"/>
  <c r="P105" i="14"/>
  <c r="Q105" i="14"/>
  <c r="R105" i="14"/>
  <c r="S105" i="14"/>
  <c r="T105" i="14"/>
  <c r="U105" i="14"/>
  <c r="V105" i="14"/>
  <c r="W105" i="14"/>
  <c r="X105" i="14"/>
  <c r="Y105" i="14"/>
  <c r="AD105" i="14"/>
  <c r="AE105" i="14"/>
  <c r="AF105" i="14"/>
  <c r="AG105" i="14"/>
  <c r="B106" i="14"/>
  <c r="C106" i="14"/>
  <c r="D106" i="14"/>
  <c r="E106" i="14"/>
  <c r="F106" i="14"/>
  <c r="G106" i="14"/>
  <c r="H106" i="14"/>
  <c r="I106" i="14"/>
  <c r="J106" i="14"/>
  <c r="K106" i="14"/>
  <c r="L106" i="14"/>
  <c r="M106" i="14"/>
  <c r="N106" i="14"/>
  <c r="O106" i="14"/>
  <c r="P106" i="14"/>
  <c r="Q106" i="14"/>
  <c r="R106" i="14"/>
  <c r="S106" i="14"/>
  <c r="T106" i="14"/>
  <c r="U106" i="14"/>
  <c r="V106" i="14"/>
  <c r="W106" i="14"/>
  <c r="X106" i="14"/>
  <c r="Y106" i="14"/>
  <c r="AD106" i="14"/>
  <c r="AE106" i="14"/>
  <c r="AF106" i="14"/>
  <c r="AG106" i="14"/>
  <c r="B107" i="14"/>
  <c r="C107" i="14"/>
  <c r="D107" i="14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X107" i="14"/>
  <c r="Y107" i="14"/>
  <c r="AD107" i="14"/>
  <c r="AE107" i="14"/>
  <c r="AF107" i="14"/>
  <c r="AG107" i="14"/>
  <c r="B108" i="14"/>
  <c r="C108" i="14"/>
  <c r="D108" i="14"/>
  <c r="E108" i="14"/>
  <c r="F108" i="14"/>
  <c r="G108" i="14"/>
  <c r="H108" i="14"/>
  <c r="I108" i="14"/>
  <c r="J108" i="14"/>
  <c r="K108" i="14"/>
  <c r="L108" i="14"/>
  <c r="M108" i="14"/>
  <c r="N108" i="14"/>
  <c r="O108" i="14"/>
  <c r="P108" i="14"/>
  <c r="Q108" i="14"/>
  <c r="R108" i="14"/>
  <c r="S108" i="14"/>
  <c r="T108" i="14"/>
  <c r="U108" i="14"/>
  <c r="V108" i="14"/>
  <c r="W108" i="14"/>
  <c r="X108" i="14"/>
  <c r="Y108" i="14"/>
  <c r="AD108" i="14"/>
  <c r="AE108" i="14"/>
  <c r="AF108" i="14"/>
  <c r="AG108" i="14"/>
  <c r="C109" i="14"/>
  <c r="D109" i="14"/>
  <c r="E109" i="14"/>
  <c r="F109" i="14"/>
  <c r="G109" i="14"/>
  <c r="H109" i="14"/>
  <c r="I109" i="14"/>
  <c r="J109" i="14"/>
  <c r="K109" i="14"/>
  <c r="L109" i="14"/>
  <c r="M109" i="14"/>
  <c r="N109" i="14"/>
  <c r="O109" i="14"/>
  <c r="P109" i="14"/>
  <c r="Q109" i="14"/>
  <c r="R109" i="14"/>
  <c r="S109" i="14"/>
  <c r="T109" i="14"/>
  <c r="U109" i="14"/>
  <c r="V109" i="14"/>
  <c r="W109" i="14"/>
  <c r="X109" i="14"/>
  <c r="Y109" i="14"/>
  <c r="AD109" i="14"/>
  <c r="AE109" i="14"/>
  <c r="AF109" i="14"/>
  <c r="AG109" i="14"/>
  <c r="B110" i="14"/>
  <c r="C110" i="14"/>
  <c r="D110" i="14"/>
  <c r="E110" i="14"/>
  <c r="F110" i="14"/>
  <c r="G110" i="14"/>
  <c r="H110" i="14"/>
  <c r="I110" i="14"/>
  <c r="J110" i="14"/>
  <c r="K110" i="14"/>
  <c r="L110" i="14"/>
  <c r="M110" i="14"/>
  <c r="N110" i="14"/>
  <c r="O110" i="14"/>
  <c r="P110" i="14"/>
  <c r="Q110" i="14"/>
  <c r="R110" i="14"/>
  <c r="S110" i="14"/>
  <c r="T110" i="14"/>
  <c r="U110" i="14"/>
  <c r="V110" i="14"/>
  <c r="W110" i="14"/>
  <c r="X110" i="14"/>
  <c r="Y110" i="14"/>
  <c r="AD110" i="14"/>
  <c r="AE110" i="14"/>
  <c r="AF110" i="14"/>
  <c r="AG110" i="14"/>
  <c r="B111" i="14"/>
  <c r="C111" i="14"/>
  <c r="D111" i="14"/>
  <c r="E111" i="14"/>
  <c r="F111" i="14"/>
  <c r="G111" i="14"/>
  <c r="H111" i="14"/>
  <c r="I111" i="14"/>
  <c r="J111" i="14"/>
  <c r="K111" i="14"/>
  <c r="L111" i="14"/>
  <c r="M111" i="14"/>
  <c r="N111" i="14"/>
  <c r="O111" i="14"/>
  <c r="P111" i="14"/>
  <c r="Q111" i="14"/>
  <c r="R111" i="14"/>
  <c r="S111" i="14"/>
  <c r="T111" i="14"/>
  <c r="U111" i="14"/>
  <c r="V111" i="14"/>
  <c r="W111" i="14"/>
  <c r="X111" i="14"/>
  <c r="Y111" i="14"/>
  <c r="AD111" i="14"/>
  <c r="AE111" i="14"/>
  <c r="AF111" i="14"/>
  <c r="AG111" i="14"/>
  <c r="B112" i="14"/>
  <c r="C112" i="14"/>
  <c r="D112" i="14"/>
  <c r="E112" i="14"/>
  <c r="F112" i="14"/>
  <c r="G112" i="14"/>
  <c r="H112" i="14"/>
  <c r="I112" i="14"/>
  <c r="J112" i="14"/>
  <c r="K112" i="14"/>
  <c r="L112" i="14"/>
  <c r="M112" i="14"/>
  <c r="R112" i="14"/>
  <c r="S112" i="14"/>
  <c r="T112" i="14"/>
  <c r="U112" i="14"/>
  <c r="AD112" i="14"/>
  <c r="AE112" i="14"/>
  <c r="AF112" i="14"/>
  <c r="AG112" i="14"/>
  <c r="B113" i="14"/>
  <c r="C113" i="14"/>
  <c r="D113" i="14"/>
  <c r="E113" i="14"/>
  <c r="F113" i="14"/>
  <c r="G113" i="14"/>
  <c r="H113" i="14"/>
  <c r="I113" i="14"/>
  <c r="J113" i="14"/>
  <c r="K113" i="14"/>
  <c r="L113" i="14"/>
  <c r="M113" i="14"/>
  <c r="R113" i="14"/>
  <c r="S113" i="14"/>
  <c r="T113" i="14"/>
  <c r="U113" i="14"/>
  <c r="AD113" i="14"/>
  <c r="AE113" i="14"/>
  <c r="AF113" i="14"/>
  <c r="AG113" i="14"/>
  <c r="B114" i="14"/>
  <c r="C114" i="14"/>
  <c r="D114" i="14"/>
  <c r="E114" i="14"/>
  <c r="F114" i="14"/>
  <c r="G114" i="14"/>
  <c r="H114" i="14"/>
  <c r="I114" i="14"/>
  <c r="J114" i="14"/>
  <c r="K114" i="14"/>
  <c r="L114" i="14"/>
  <c r="M114" i="14"/>
  <c r="R114" i="14"/>
  <c r="S114" i="14"/>
  <c r="T114" i="14"/>
  <c r="U114" i="14"/>
  <c r="AD114" i="14"/>
  <c r="AE114" i="14"/>
  <c r="AF114" i="14"/>
  <c r="AG114" i="14"/>
  <c r="B115" i="14"/>
  <c r="C115" i="14"/>
  <c r="D115" i="14"/>
  <c r="E115" i="14"/>
  <c r="F115" i="14"/>
  <c r="G115" i="14"/>
  <c r="H115" i="14"/>
  <c r="I115" i="14"/>
  <c r="J115" i="14"/>
  <c r="K115" i="14"/>
  <c r="L115" i="14"/>
  <c r="M115" i="14"/>
  <c r="R115" i="14"/>
  <c r="S115" i="14"/>
  <c r="T115" i="14"/>
  <c r="U115" i="14"/>
  <c r="Z115" i="14"/>
  <c r="AA115" i="14"/>
  <c r="AB115" i="14"/>
  <c r="AC115" i="14"/>
  <c r="AD115" i="14"/>
  <c r="AE115" i="14"/>
  <c r="AF115" i="14"/>
  <c r="AG115" i="14"/>
  <c r="B26" i="13" l="1"/>
  <c r="C9" i="13"/>
  <c r="H9" i="13"/>
  <c r="B16" i="13"/>
  <c r="B17" i="13"/>
  <c r="B18" i="13"/>
  <c r="B19" i="13"/>
  <c r="B20" i="13"/>
  <c r="B21" i="13"/>
  <c r="B22" i="13"/>
  <c r="B23" i="13"/>
  <c r="B24" i="13"/>
  <c r="B25" i="13"/>
  <c r="B27" i="13"/>
  <c r="B28" i="13"/>
  <c r="B29" i="13"/>
  <c r="C26" i="13" l="1"/>
  <c r="E116" i="14"/>
  <c r="F116" i="14"/>
  <c r="I116" i="14"/>
  <c r="J116" i="14"/>
  <c r="M116" i="14"/>
  <c r="R116" i="14"/>
  <c r="U116" i="14"/>
  <c r="Z116" i="14"/>
  <c r="AC116" i="14"/>
  <c r="AD116" i="14"/>
  <c r="AG116" i="14"/>
  <c r="E117" i="14"/>
  <c r="F117" i="14"/>
  <c r="I117" i="14"/>
  <c r="J117" i="14"/>
  <c r="M117" i="14"/>
  <c r="E118" i="14"/>
  <c r="F118" i="14"/>
  <c r="B116" i="14"/>
  <c r="F29" i="13"/>
  <c r="C29" i="13"/>
  <c r="F27" i="13"/>
  <c r="C27" i="13"/>
  <c r="C25" i="13"/>
  <c r="F23" i="13"/>
  <c r="C23" i="13"/>
  <c r="F21" i="13"/>
  <c r="C21" i="13"/>
  <c r="F19" i="13"/>
  <c r="B117" i="14"/>
  <c r="B118" i="14"/>
  <c r="C19" i="13"/>
  <c r="F28" i="13" l="1"/>
  <c r="F26" i="13"/>
  <c r="F22" i="13"/>
  <c r="F20" i="13"/>
  <c r="F24" i="13"/>
  <c r="R117" i="14"/>
  <c r="U117" i="14"/>
  <c r="Z117" i="14"/>
  <c r="AC117" i="14"/>
  <c r="AD117" i="14"/>
  <c r="AG117" i="14"/>
  <c r="I118" i="14"/>
  <c r="J118" i="14"/>
  <c r="M118" i="14"/>
  <c r="R118" i="14"/>
  <c r="U118" i="14"/>
  <c r="Z118" i="14"/>
  <c r="AC118" i="14"/>
  <c r="AD118" i="14"/>
  <c r="AG118" i="14"/>
  <c r="F25" i="13"/>
  <c r="D29" i="13"/>
  <c r="D27" i="13"/>
  <c r="D25" i="13"/>
  <c r="K29" i="13"/>
  <c r="H25" i="13"/>
  <c r="K23" i="13"/>
  <c r="K21" i="13"/>
  <c r="H21" i="13"/>
  <c r="K117" i="14"/>
  <c r="AE116" i="14"/>
  <c r="AA118" i="14"/>
  <c r="AA116" i="14"/>
  <c r="D23" i="13"/>
  <c r="D21" i="13"/>
  <c r="H29" i="13"/>
  <c r="K25" i="13"/>
  <c r="H23" i="13"/>
  <c r="K19" i="13"/>
  <c r="S118" i="14"/>
  <c r="S117" i="14"/>
  <c r="S116" i="14"/>
  <c r="G118" i="14"/>
  <c r="G117" i="14"/>
  <c r="G116" i="14"/>
  <c r="K118" i="14"/>
  <c r="K116" i="14"/>
  <c r="AE118" i="14"/>
  <c r="AE117" i="14"/>
  <c r="AA117" i="14"/>
  <c r="H19" i="13"/>
  <c r="C116" i="14"/>
  <c r="I19" i="13" s="1"/>
  <c r="C118" i="14"/>
  <c r="D19" i="13"/>
  <c r="C117" i="14"/>
  <c r="T118" i="14"/>
  <c r="T117" i="14"/>
  <c r="T116" i="14"/>
  <c r="J25" i="13" s="1"/>
  <c r="H118" i="14"/>
  <c r="H117" i="14"/>
  <c r="H116" i="14"/>
  <c r="J21" i="13" s="1"/>
  <c r="L118" i="14"/>
  <c r="L117" i="14"/>
  <c r="L116" i="14"/>
  <c r="J23" i="13" s="1"/>
  <c r="AF116" i="14"/>
  <c r="J29" i="13" s="1"/>
  <c r="AB118" i="14"/>
  <c r="AB117" i="14"/>
  <c r="AB116" i="14"/>
  <c r="E21" i="13"/>
  <c r="E29" i="13"/>
  <c r="E27" i="13"/>
  <c r="E25" i="13"/>
  <c r="E23" i="13"/>
  <c r="D117" i="14"/>
  <c r="D118" i="14"/>
  <c r="E19" i="13"/>
  <c r="D116" i="14"/>
  <c r="J19" i="13" s="1"/>
  <c r="E28" i="13" l="1"/>
  <c r="C28" i="13"/>
  <c r="D26" i="13"/>
  <c r="C24" i="13"/>
  <c r="C22" i="13"/>
  <c r="C20" i="13"/>
  <c r="H20" i="13"/>
  <c r="F18" i="13"/>
  <c r="K18" i="13"/>
  <c r="H18" i="13"/>
  <c r="C18" i="13"/>
  <c r="K20" i="13"/>
  <c r="H22" i="13"/>
  <c r="K22" i="13"/>
  <c r="H24" i="13"/>
  <c r="K24" i="13"/>
  <c r="H26" i="13"/>
  <c r="K26" i="13"/>
  <c r="H28" i="13"/>
  <c r="K28" i="13"/>
  <c r="AF118" i="14"/>
  <c r="AF117" i="14"/>
  <c r="I29" i="13"/>
  <c r="I25" i="13"/>
  <c r="I23" i="13"/>
  <c r="I21" i="13"/>
  <c r="I28" i="13" l="1"/>
  <c r="D28" i="13"/>
  <c r="I26" i="13"/>
  <c r="J26" i="13"/>
  <c r="E26" i="13"/>
  <c r="J24" i="13"/>
  <c r="E24" i="13"/>
  <c r="I24" i="13"/>
  <c r="D24" i="13"/>
  <c r="I22" i="13"/>
  <c r="D22" i="13"/>
  <c r="J22" i="13"/>
  <c r="E22" i="13"/>
  <c r="I20" i="13"/>
  <c r="D20" i="13"/>
  <c r="J20" i="13"/>
  <c r="E20" i="13"/>
  <c r="J18" i="13"/>
  <c r="E18" i="13"/>
  <c r="I18" i="13"/>
  <c r="D18" i="13"/>
  <c r="J28" i="13"/>
  <c r="E16" i="13" l="1"/>
  <c r="D16" i="13"/>
  <c r="C17" i="13"/>
  <c r="J17" i="13"/>
  <c r="F17" i="13"/>
  <c r="E17" i="13"/>
  <c r="H17" i="13"/>
  <c r="J16" i="13"/>
  <c r="I17" i="13"/>
  <c r="K17" i="13"/>
  <c r="D17" i="13"/>
  <c r="F16" i="13"/>
  <c r="C16" i="13"/>
  <c r="H16" i="13"/>
  <c r="K16" i="13"/>
  <c r="I16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Government of the United States</author>
    <author>Dusenberry, Alexander</author>
    <author>Cassiday, Alan</author>
    <author>Pelsey, Douglas</author>
  </authors>
  <commentList>
    <comment ref="C32" authorId="0" shapeId="0" xr:uid="{AF5AD8FB-7A40-4945-9343-5A83BD9AE213}">
      <text>
        <r>
          <rPr>
            <b/>
            <sz val="9"/>
            <color indexed="81"/>
            <rFont val="Tahoma"/>
            <family val="2"/>
          </rPr>
          <t>Number updated with 4Q 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3" authorId="0" shapeId="0" xr:uid="{EC525495-577B-4DEF-8AA4-7430F9831C35}">
      <text>
        <r>
          <rPr>
            <b/>
            <sz val="9"/>
            <color indexed="81"/>
            <rFont val="Tahoma"/>
            <family val="2"/>
          </rPr>
          <t>Updated using railroad's 1Q2019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3" authorId="0" shapeId="0" xr:uid="{4179329D-5886-401C-80F8-71453151EC74}">
      <text>
        <r>
          <rPr>
            <b/>
            <sz val="9"/>
            <color indexed="81"/>
            <rFont val="Tahoma"/>
            <family val="2"/>
          </rPr>
          <t>Updated using railroad's 1Q2019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4" authorId="0" shapeId="0" xr:uid="{ACA86C49-84C6-4A84-91BA-CA40AD9C31E2}">
      <text>
        <r>
          <rPr>
            <b/>
            <sz val="9"/>
            <color indexed="81"/>
            <rFont val="Tahoma"/>
            <family val="2"/>
          </rPr>
          <t>Updated using railroad's 2Q2019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4" authorId="0" shapeId="0" xr:uid="{A224CD55-2437-4BC1-A5D2-29CEDD818551}">
      <text>
        <r>
          <rPr>
            <b/>
            <sz val="9"/>
            <color indexed="81"/>
            <rFont val="Tahoma"/>
            <family val="2"/>
          </rPr>
          <t>Updated using railroad's 2Q2019 filing</t>
        </r>
      </text>
    </comment>
    <comment ref="N35" authorId="1" shapeId="0" xr:uid="{001CBFFD-AB79-4B3F-9B9B-30FF140F7814}">
      <text>
        <r>
          <rPr>
            <b/>
            <sz val="9"/>
            <color indexed="81"/>
            <rFont val="Tahoma"/>
            <family val="2"/>
          </rPr>
          <t>Updated using railroad's 3Q2019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5" authorId="1" shapeId="0" xr:uid="{34330A1F-845D-49A9-96B8-924FFE76A68B}">
      <text>
        <r>
          <rPr>
            <b/>
            <sz val="9"/>
            <color indexed="81"/>
            <rFont val="Tahoma"/>
            <family val="2"/>
          </rPr>
          <t>Updated using railroad's 3Q2019 filing</t>
        </r>
      </text>
    </comment>
    <comment ref="P35" authorId="1" shapeId="0" xr:uid="{A1127BDA-0FCF-4260-92E7-A179D3083344}">
      <text>
        <r>
          <rPr>
            <b/>
            <sz val="9"/>
            <color indexed="81"/>
            <rFont val="Tahoma"/>
            <family val="2"/>
          </rPr>
          <t>Updated using railroad's 3Q2019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36" authorId="0" shapeId="0" xr:uid="{1655EFA4-C5FF-40DF-9C5A-B8849B3E93F2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36" authorId="0" shapeId="0" xr:uid="{41134506-4964-4717-B824-8EE92D1F462F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6" authorId="0" shapeId="0" xr:uid="{2F7D8093-5DE0-4341-A0BD-FFC59E6101FF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6" authorId="0" shapeId="0" xr:uid="{499C7069-5D56-46FF-B6DA-7C8A55DB1A45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36" authorId="0" shapeId="0" xr:uid="{F4DD3875-AD1E-4180-9B5B-575F17195440}">
      <text>
        <r>
          <rPr>
            <b/>
            <sz val="9"/>
            <color indexed="81"/>
            <rFont val="Tahoma"/>
            <family val="2"/>
          </rPr>
          <t>Updated using a revised 4Q2018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37" authorId="2" shapeId="0" xr:uid="{E2802FB8-9E29-44E2-9B46-1AE4D799771A}">
      <text>
        <r>
          <rPr>
            <b/>
            <sz val="9"/>
            <color indexed="81"/>
            <rFont val="Tahoma"/>
            <family val="2"/>
          </rPr>
          <t>Updated using a revised
1Q2019 filing</t>
        </r>
      </text>
    </comment>
    <comment ref="K40" authorId="1" shapeId="0" xr:uid="{BE1C7C6B-2DE3-4E9F-814D-0CF104512ADA}">
      <text>
        <r>
          <rPr>
            <b/>
            <sz val="9"/>
            <color indexed="81"/>
            <rFont val="Tahoma"/>
            <family val="2"/>
          </rPr>
          <t>Updated using railroad's 4Q2020 filing</t>
        </r>
      </text>
    </comment>
    <comment ref="L40" authorId="1" shapeId="0" xr:uid="{A4ED3F78-6E10-4321-97B7-A029246BF4B6}">
      <text>
        <r>
          <rPr>
            <sz val="9"/>
            <color indexed="81"/>
            <rFont val="Tahoma"/>
            <family val="2"/>
          </rPr>
          <t>Updated using railroad's 4Q2020 filing</t>
        </r>
      </text>
    </comment>
    <comment ref="T43" authorId="1" shapeId="0" xr:uid="{BF9A38DA-E971-4A74-9E98-98A13812B93A}">
      <text>
        <r>
          <rPr>
            <b/>
            <sz val="9"/>
            <color indexed="81"/>
            <rFont val="Tahoma"/>
            <family val="2"/>
          </rPr>
          <t>Updated using a revised 3Q2020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4" authorId="1" shapeId="0" xr:uid="{2C1893E0-44E8-42A3-AB9F-1A2FB9C952F6}">
      <text>
        <r>
          <rPr>
            <b/>
            <sz val="9"/>
            <color indexed="81"/>
            <rFont val="Tahoma"/>
            <family val="2"/>
          </rPr>
          <t>Updated using a revised 4Q2020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8" authorId="1" shapeId="0" xr:uid="{24DFDD96-CACA-471F-8251-B9F93A0FA37C}">
      <text>
        <r>
          <rPr>
            <b/>
            <sz val="9"/>
            <color indexed="81"/>
            <rFont val="Tahoma"/>
            <family val="2"/>
          </rPr>
          <t>Updated using railroad's 4Q 2022 filing</t>
        </r>
      </text>
    </comment>
    <comment ref="H48" authorId="1" shapeId="0" xr:uid="{F14ADC05-E8DB-421D-9635-BB7D42740294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48" authorId="1" shapeId="0" xr:uid="{28B79406-9F85-41A7-A345-F0BA4F0BF6F3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48" authorId="1" shapeId="0" xr:uid="{4473A8A7-B4B8-40A0-9221-349BEB2801E9}">
      <text>
        <r>
          <rPr>
            <b/>
            <sz val="9"/>
            <color indexed="81"/>
            <rFont val="Tahoma"/>
            <family val="2"/>
          </rPr>
          <t>Updated using railroad's 4Q 2022 filing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1" authorId="1" shapeId="0" xr:uid="{C04118D1-2994-4EA6-A5DD-44ABA3793A0F}">
      <text>
        <r>
          <rPr>
            <b/>
            <sz val="9"/>
            <color indexed="81"/>
            <rFont val="Tahoma"/>
            <family val="2"/>
          </rPr>
          <t xml:space="preserve">Updated using a revised 3Q 2022 filing from the railroad
</t>
        </r>
      </text>
    </comment>
    <comment ref="X51" authorId="1" shapeId="0" xr:uid="{FDAF2BE9-B71A-416F-963D-52ABEDCAC91D}">
      <text>
        <r>
          <rPr>
            <b/>
            <sz val="9"/>
            <color indexed="81"/>
            <rFont val="Tahoma"/>
            <family val="2"/>
          </rPr>
          <t>Updated using a revised 3Q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1" shapeId="0" xr:uid="{E93B7CF9-D15F-4CE0-B1C1-C49706C378F4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D52" authorId="1" shapeId="0" xr:uid="{D3995F71-8998-42FF-889E-E3F25335ADB6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G52" authorId="1" shapeId="0" xr:uid="{ACE0928A-F674-4002-BE74-708CA18CEF5A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H52" authorId="1" shapeId="0" xr:uid="{DA46E632-6ECD-48F4-A1C9-58D166923DEB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2" authorId="1" shapeId="0" xr:uid="{E1980E78-9E48-4FC4-9DAF-2987764BDD23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2" authorId="1" shapeId="0" xr:uid="{AC47ECDB-1533-4E74-B792-0823BA3C3DAE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</text>
    </comment>
    <comment ref="X52" authorId="1" shapeId="0" xr:uid="{0659F3B8-3A48-4628-AEBD-0711F4589565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52" authorId="1" shapeId="0" xr:uid="{3B4839D0-B9B7-4C7F-BB81-FD975C1C7FBF}">
      <text>
        <r>
          <rPr>
            <b/>
            <sz val="9"/>
            <color indexed="81"/>
            <rFont val="Tahoma"/>
            <family val="2"/>
          </rPr>
          <t>Updated using a revised 4Q 2022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3" authorId="3" shapeId="0" xr:uid="{25858960-6F70-4DC1-9938-39804B9A4404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H53" authorId="3" shapeId="0" xr:uid="{B910504A-4FE0-4FA2-A505-BAADCF5456EB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G54" authorId="1" shapeId="0" xr:uid="{C004F184-44AA-46D2-B363-8D2C26EF661F}">
      <text>
        <r>
          <rPr>
            <b/>
            <sz val="9"/>
            <color indexed="81"/>
            <rFont val="Tahoma"/>
            <family val="2"/>
          </rPr>
          <t>Updated using a revised Q2 2024 filing from the railroad</t>
        </r>
      </text>
    </comment>
    <comment ref="H54" authorId="1" shapeId="0" xr:uid="{9FBBD6AD-4C98-4140-95C6-371C7F045652}">
      <text>
        <r>
          <rPr>
            <b/>
            <sz val="9"/>
            <color indexed="81"/>
            <rFont val="Tahoma"/>
            <family val="2"/>
          </rPr>
          <t>Updated using a revised Q2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5" authorId="1" shapeId="0" xr:uid="{23B73DD6-58D3-4E4D-B2DD-C6FC1DAD84B6}">
      <text>
        <r>
          <rPr>
            <b/>
            <sz val="9"/>
            <color indexed="81"/>
            <rFont val="Tahoma"/>
            <family val="2"/>
          </rPr>
          <t>Updated using the Q3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5" authorId="1" shapeId="0" xr:uid="{2E47CD81-41EA-4506-9454-03272A1456E1}">
      <text>
        <r>
          <rPr>
            <b/>
            <sz val="9"/>
            <color indexed="81"/>
            <rFont val="Tahoma"/>
            <family val="2"/>
          </rPr>
          <t>Updated using the Q3 2024 filing from the railroad</t>
        </r>
      </text>
    </comment>
    <comment ref="G56" authorId="1" shapeId="0" xr:uid="{29880248-CD85-4A8A-ACE3-931FE8E13AD7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6" authorId="1" shapeId="0" xr:uid="{8B3E1EDF-6851-451D-AEE6-758288B06AC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</text>
    </comment>
    <comment ref="O56" authorId="1" shapeId="0" xr:uid="{7882EA32-6986-410C-9509-72921B099318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</text>
    </comment>
    <comment ref="P56" authorId="1" shapeId="0" xr:uid="{43E4703A-B573-4DEB-B923-1365B5F981E5}">
      <text>
        <r>
          <rPr>
            <b/>
            <sz val="9"/>
            <color indexed="81"/>
            <rFont val="Tahoma"/>
            <family val="2"/>
          </rPr>
          <t xml:space="preserve">Updated using a revised 4Q 2023 filing from the railroad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56" authorId="1" shapeId="0" xr:uid="{E1312F64-B535-41A6-A75F-D6F9036FEA7F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56" authorId="1" shapeId="0" xr:uid="{5E56A95F-C509-4E85-A22A-272D16342C7D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</text>
    </comment>
    <comment ref="X56" authorId="1" shapeId="0" xr:uid="{E663D42A-5521-405C-BBD8-84C18AA06455}">
      <text>
        <r>
          <rPr>
            <b/>
            <sz val="9"/>
            <color indexed="81"/>
            <rFont val="Tahoma"/>
            <family val="2"/>
          </rPr>
          <t>Updated using a revised 4Q 2023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56" authorId="3" shapeId="0" xr:uid="{88B640FF-9A6C-4E44-A41A-1529B337D7A8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</text>
    </comment>
    <comment ref="AE56" authorId="1" shapeId="0" xr:uid="{A00409E1-4F74-46EF-B47C-1D1B4C3864F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56" authorId="1" shapeId="0" xr:uid="{232532B3-87F6-49AC-9B66-66F4D0FC1842}">
      <text>
        <r>
          <rPr>
            <b/>
            <sz val="9"/>
            <color indexed="81"/>
            <rFont val="Tahoma"/>
            <family val="2"/>
          </rPr>
          <t>Updated using the Q4 2024 filing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7" authorId="3" shapeId="0" xr:uid="{81221220-469B-4898-9461-EEE7BB7F9846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H57" authorId="3" shapeId="0" xr:uid="{0850812E-57BE-4F87-B73D-C3B35C754A61}">
      <text>
        <r>
          <rPr>
            <b/>
            <sz val="9"/>
            <color indexed="81"/>
            <rFont val="Tahoma"/>
            <family val="2"/>
          </rPr>
          <t>Updated with revised filing on 3-17-25 from the railroad</t>
        </r>
      </text>
    </comment>
    <comment ref="U57" authorId="1" shapeId="0" xr:uid="{B56BE959-1B56-4D5F-B0AE-36F50C2B6262}">
      <text>
        <r>
          <rPr>
            <b/>
            <sz val="9"/>
            <color indexed="81"/>
            <rFont val="Tahoma"/>
            <family val="2"/>
          </rPr>
          <t>Updated using a revised Q1 2024 filing from the railroad</t>
        </r>
      </text>
    </comment>
    <comment ref="F60" authorId="3" shapeId="0" xr:uid="{DDA58619-3336-49AF-95E0-78915D02737B}">
      <text>
        <r>
          <rPr>
            <b/>
            <sz val="9"/>
            <color indexed="81"/>
            <rFont val="Tahoma"/>
            <family val="2"/>
          </rPr>
          <t>Updated with revised filing on 5-5-25 from the railroad</t>
        </r>
      </text>
    </comment>
    <comment ref="G60" authorId="3" shapeId="0" xr:uid="{F98F2DB3-2475-4795-9F0F-A09DB0AC44A6}">
      <text>
        <r>
          <rPr>
            <b/>
            <sz val="9"/>
            <color indexed="81"/>
            <rFont val="Tahoma"/>
            <family val="2"/>
          </rPr>
          <t>Updated with revised filing on 5-5-25 from the railroad</t>
        </r>
      </text>
    </comment>
    <comment ref="Z60" authorId="1" shapeId="0" xr:uid="{BCC792D5-0CA8-448C-8582-72294BFC6356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60" authorId="1" shapeId="0" xr:uid="{96213CD8-36E4-4CDD-B6C6-FA08E93A6F2A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60" authorId="1" shapeId="0" xr:uid="{CB77F2F9-0A16-43DB-B37E-20C2ADCA8307}">
      <text>
        <r>
          <rPr>
            <b/>
            <sz val="9"/>
            <color indexed="81"/>
            <rFont val="Tahoma"/>
            <family val="2"/>
          </rPr>
          <t>Updated with revised filing on 4-14-25 from the railroad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60" authorId="3" shapeId="0" xr:uid="{3D47553E-0EDD-457F-908F-D7D6831C4957}">
      <text>
        <r>
          <rPr>
            <b/>
            <sz val="9"/>
            <color indexed="81"/>
            <rFont val="Tahoma"/>
            <charset val="1"/>
          </rPr>
          <t>Updated with revised filing on 7-23-26 from the railroad</t>
        </r>
      </text>
    </comment>
    <comment ref="C87" authorId="0" shapeId="0" xr:uid="{B881DD91-6045-4C69-B94D-B2AE0AD40798}">
      <text>
        <r>
          <rPr>
            <b/>
            <sz val="9"/>
            <color indexed="81"/>
            <rFont val="Tahoma"/>
            <family val="2"/>
          </rPr>
          <t>Updated using the Railroad's 4Q 2018 filing</t>
        </r>
      </text>
    </comment>
    <comment ref="I87" authorId="0" shapeId="0" xr:uid="{0B2DBD03-3980-453E-B51B-26A0D3822878}">
      <text>
        <r>
          <rPr>
            <b/>
            <sz val="9"/>
            <color indexed="81"/>
            <rFont val="Tahoma"/>
            <family val="2"/>
          </rPr>
          <t>Updated using the Railroads 4Q 2017 filing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<sst xmlns="http://schemas.openxmlformats.org/spreadsheetml/2006/main" count="255" uniqueCount="156">
  <si>
    <t>REV</t>
  </si>
  <si>
    <t>NROI</t>
  </si>
  <si>
    <t>NI</t>
  </si>
  <si>
    <t>SURFACE TRANSPORTATION BOARD</t>
  </si>
  <si>
    <t>WASHINGTON, DC 20423</t>
  </si>
  <si>
    <t>CLASS I FREIGHT RAILROADS - SELECTED EARNINGS DATA</t>
  </si>
  <si>
    <t>(000 OMITTED)</t>
  </si>
  <si>
    <t>Net</t>
  </si>
  <si>
    <t xml:space="preserve"> </t>
  </si>
  <si>
    <t>Railway</t>
  </si>
  <si>
    <t>Revenue</t>
  </si>
  <si>
    <t>Operating</t>
  </si>
  <si>
    <t>Ton-Miles</t>
  </si>
  <si>
    <t>Revenues</t>
  </si>
  <si>
    <t>Income</t>
  </si>
  <si>
    <t>Of Freight</t>
  </si>
  <si>
    <t>Railroad</t>
  </si>
  <si>
    <t>Year</t>
  </si>
  <si>
    <t>(1)</t>
  </si>
  <si>
    <t>Burlington Northern - Santa Fe</t>
  </si>
  <si>
    <t>CSX Transportation</t>
  </si>
  <si>
    <t>CN/Grand Trunk Corporation</t>
  </si>
  <si>
    <t>Kansas City Southern</t>
  </si>
  <si>
    <t>Norfolk Southern</t>
  </si>
  <si>
    <t>Soo Line</t>
  </si>
  <si>
    <t>Union Pacific</t>
  </si>
  <si>
    <t xml:space="preserve">SOURCES OF DATA:  </t>
  </si>
  <si>
    <t xml:space="preserve">      Railway Operating Revenues, Net Railway Operating Income, and Net Income are from the "Quarterly Report of Revenues,</t>
  </si>
  <si>
    <t xml:space="preserve">      Expenses, and Income - Railroads" (Form RE&amp;I).</t>
  </si>
  <si>
    <t xml:space="preserve">      Revenue Ton Miles of Freight are from the "Quarterly Condensed Balance Sheet - Railroads (Form CBS).</t>
  </si>
  <si>
    <t xml:space="preserve">     These reports have not been verified by the Surface Transportation Board.</t>
  </si>
  <si>
    <t>NOTES:</t>
  </si>
  <si>
    <t>(1)   Net Railway Operating Income is the difference between railway operating revenues and the total of railway operating expenses, railway tax accruals, and net</t>
  </si>
  <si>
    <t>(Additional Notes on Page 2)</t>
  </si>
  <si>
    <t xml:space="preserve">    Total All Class 1 </t>
  </si>
  <si>
    <t xml:space="preserve">    Freight Railroads</t>
  </si>
  <si>
    <t>OFFICE OF ECONOMICS</t>
  </si>
  <si>
    <t># of Rev Tons
 Carried 1 Mile</t>
  </si>
  <si>
    <t>QUARTER ENDED JUNE 30 2012</t>
  </si>
  <si>
    <t>QUARTER ENDED SEPTEMBER 30  2012</t>
  </si>
  <si>
    <t>QUARTER ENDED DECEMBER 31 2012</t>
  </si>
  <si>
    <t>QUARTER ENDED MARCH 31 2013</t>
  </si>
  <si>
    <t>QUARTER ENDED JUNE 30 2013</t>
  </si>
  <si>
    <t>QUARTER ENDED SEPTEMBER 30 2013</t>
  </si>
  <si>
    <t>QUARTER ENDED DECEMBER 31 2013</t>
  </si>
  <si>
    <t>QUARTER ENDED MARCH 31 2014</t>
  </si>
  <si>
    <t>QUARTER ENDED JUNE 30 2014</t>
  </si>
  <si>
    <t>QUARTER ENDED DECEMBER 31 2014</t>
  </si>
  <si>
    <t>QUARTER ENDED MARCH 31 2015</t>
  </si>
  <si>
    <t>QUARTER ENDED JUNE 30 2015</t>
  </si>
  <si>
    <t>QUARTER ENDED DECEMBER 31 2015</t>
  </si>
  <si>
    <t>QUARTER ENDED MARCH 31 2016</t>
  </si>
  <si>
    <t>QUARTER ENDED JUNE 30 2016</t>
  </si>
  <si>
    <t>QUARTER ENDED DECEMBER 31 2016</t>
  </si>
  <si>
    <t>QUARTER ENDED MARCH 31 2017</t>
  </si>
  <si>
    <t>QUARTER ENDED JUNE 30 2017</t>
  </si>
  <si>
    <t>QUARTER ENDED DECEMBER 31 2017</t>
  </si>
  <si>
    <t>12 MONTHS ENDED MARCH 31 2013</t>
  </si>
  <si>
    <t>12 MONTHS ENDED JUNE 30 2013</t>
  </si>
  <si>
    <t>12 MONTHS ENDED DECEMBER 31 2013</t>
  </si>
  <si>
    <t>12 MONTHS ENDED MARCH 31 2014</t>
  </si>
  <si>
    <t>12 MONTHS ENDED JUNE 30 2014</t>
  </si>
  <si>
    <t>12 MONTHS ENDED DECEMBER 31 2014</t>
  </si>
  <si>
    <t>12 MONTHS ENDED MARCH 31 2015</t>
  </si>
  <si>
    <t>12 MONTHS ENDED JUNE 30 2015</t>
  </si>
  <si>
    <t>12 MONTHS ENDED DECEMBER 31 2015</t>
  </si>
  <si>
    <t>12 MONTHS ENDED MARCH 31 2016</t>
  </si>
  <si>
    <t>12 MONTHS ENDED JUNE 30 2016</t>
  </si>
  <si>
    <t>12 MONTHS ENDED DECEMBER 31 2016</t>
  </si>
  <si>
    <t>12 MONTHS ENDED MARCH 31 2017</t>
  </si>
  <si>
    <t>12 MONTHS ENDED JUNE 30 2017</t>
  </si>
  <si>
    <t>12 MONTHS ENDED DECEMBER 31 2017</t>
  </si>
  <si>
    <t>SPREADSHEET 1</t>
  </si>
  <si>
    <t>SPREADSHEET 2</t>
  </si>
  <si>
    <t>QUARTER ENDED SEPTEMBER 30 2014</t>
  </si>
  <si>
    <t>12 MONTHS ENDED SEPTEMBER 30 2014</t>
  </si>
  <si>
    <t>12 MONTHS ENDED SEPTEMBER 30 2013</t>
  </si>
  <si>
    <t>12 MONTHS ENDED SEPTEMBER 30 2015</t>
  </si>
  <si>
    <t>12 MONTHS ENDED SEPTEMBER 30 2016</t>
  </si>
  <si>
    <t>12 MONTHS ENDED SEPTEMBER 30 2017</t>
  </si>
  <si>
    <t>QUARTER ENDED SEPTEMBER 30 2015</t>
  </si>
  <si>
    <t>QUARTER ENDED SEPTEMBER 30 2017</t>
  </si>
  <si>
    <t>QUARTER ENDED SEPTEMBER 30 2016</t>
  </si>
  <si>
    <t>12 MONTHS ENDED MARCH 31 2018</t>
  </si>
  <si>
    <t>12 MONTHS ENDED JUNE 30 2018</t>
  </si>
  <si>
    <t>12 MONTHS ENDED SEPTEMBER 30 2018</t>
  </si>
  <si>
    <t>12 MONTHS ENDED DECEMBER 31 2018</t>
  </si>
  <si>
    <t>THESE DATA ARE ALSO AVAILABLE ON THE BOARD'S WEBSITE AT WWW.STB.GOV</t>
  </si>
  <si>
    <t>Current Year</t>
  </si>
  <si>
    <t>Current Quarter Ended Date</t>
  </si>
  <si>
    <t>QUARTER ENDED JUNE 30 2018</t>
  </si>
  <si>
    <t>QUARTER ENDED DECEMBER 31 2018</t>
  </si>
  <si>
    <t>QUARTER ENDED MARCH 31 2019</t>
  </si>
  <si>
    <t>QUARTER ENDED MARCH 31 2018</t>
  </si>
  <si>
    <t>12 MONTHS ENDED MARCH 31 2019</t>
  </si>
  <si>
    <t>12 MONTHS ENDED JUNE 30 2019</t>
  </si>
  <si>
    <t>12 MONTHS ENDED SEPTEMBER 30 2019</t>
  </si>
  <si>
    <t>12 MONTHS ENDED DECEMBER 31 2019</t>
  </si>
  <si>
    <t>12 MONTHS ENDED JUNE 30 2020</t>
  </si>
  <si>
    <t>12 MONTHS ENDED SEPTEMBER 30 2020</t>
  </si>
  <si>
    <t>12 MONTHS ENDED DECEMBER 31 2020</t>
  </si>
  <si>
    <t>12 MONTHS ENDED MARCH 31 2020</t>
  </si>
  <si>
    <t>QUARTER ENDED SEPTEMBER 30 2018</t>
  </si>
  <si>
    <t>QUARTER ENDED MARCH 31 2020</t>
  </si>
  <si>
    <t>QUARTER ENDED JUNE 30 2019</t>
  </si>
  <si>
    <t>QUARTER ENDED SEPTEMBER 30 2019</t>
  </si>
  <si>
    <t>QUARTER ENDED DECEMBER 31 2019</t>
  </si>
  <si>
    <t>QUARTER ENDED JUNE 30 2020</t>
  </si>
  <si>
    <t>QUARTER ENDED SEPTEMBER 30 2020</t>
  </si>
  <si>
    <t>QUARTER ENDED DECEMBER 31 2020</t>
  </si>
  <si>
    <t>QUARTER ENDED MARCH 31 2021</t>
  </si>
  <si>
    <t>QUARTER ENDED JUNE 30 2021</t>
  </si>
  <si>
    <t>QUARTER ENDED SEPTEMBER 30 2021</t>
  </si>
  <si>
    <t>QUARTER ENDED DECEMBER 31 2021</t>
  </si>
  <si>
    <t>QUARTER ENDED MARCH 31 2022</t>
  </si>
  <si>
    <t>(all caps)</t>
  </si>
  <si>
    <t>12 MONTHS ENDED MARCH 31 2021</t>
  </si>
  <si>
    <t>12 MONTHS ENDED JUNE 30 2021</t>
  </si>
  <si>
    <t>12 MONTHS ENDED SEPTEMBER 30 2021</t>
  </si>
  <si>
    <t>12 MONTHS ENDED DECEMBER 31 2021</t>
  </si>
  <si>
    <t>12 MONTHS ENDED MARCH 31 2022</t>
  </si>
  <si>
    <t>QUARTER ENDED JUNE 30 2022</t>
  </si>
  <si>
    <t>12 MONTHS ENDED JUNE 30 2022</t>
  </si>
  <si>
    <t>QUARTER ENDED SEPTEMBER 30 2022</t>
  </si>
  <si>
    <t>12 MONTHS ENDED SEPTEMBER 30 2022</t>
  </si>
  <si>
    <t>QUARTER ENDED DECEMBER 31 2022</t>
  </si>
  <si>
    <t>12 MONTHS ENDED DECEMBER 31 2022</t>
  </si>
  <si>
    <t>12 MONTHS ENDED MARCH 31 2023</t>
  </si>
  <si>
    <t>12 MONTHS ENDED JUNE 30 2023</t>
  </si>
  <si>
    <t>12 MONTHS ENDED SEPTEMBER 30 2023</t>
  </si>
  <si>
    <t>12 MONTHS ENDED DECEMBER 31 2023</t>
  </si>
  <si>
    <t>QUARTER ENDED MARCH 31 2023</t>
  </si>
  <si>
    <t>QUARTER ENDED JUNE 30 2023</t>
  </si>
  <si>
    <t>QUARTER ENDED SEPTEMBER 30 2023</t>
  </si>
  <si>
    <t>QUARTER ENDED DECEMBER 31 2023</t>
  </si>
  <si>
    <t>QUARTER ENDED MARCH 31 2024</t>
  </si>
  <si>
    <t>QUARTER ENDED JUNE 30 2024</t>
  </si>
  <si>
    <t>QUARTER ENDED SEPTEMBER 30 2024</t>
  </si>
  <si>
    <t>QUARTER ENDED DECEMBER 31 2024</t>
  </si>
  <si>
    <t>12 MONTHS ENDED MARCH 31 2024</t>
  </si>
  <si>
    <t>12 MONTHS ENDED JUNE 30 2024</t>
  </si>
  <si>
    <t>12 MONTHS ENDED SEPTEMBER 30 2024</t>
  </si>
  <si>
    <t>12 MONTHS ENDED DECEMBER 31 2024</t>
  </si>
  <si>
    <t>QUARTER ENDED MARCH 31 2025</t>
  </si>
  <si>
    <t>QUARTER ENDED JUNE 30 2025</t>
  </si>
  <si>
    <t>QUARTER ENDED SEPTEMBER 30 2025</t>
  </si>
  <si>
    <t>12 MONTHS ENDED MARCH 31 2025</t>
  </si>
  <si>
    <t>12 MONTHS ENDED JUNE 30 2025</t>
  </si>
  <si>
    <t>12 MONTHS ENDED SEPTEMBER 30 2025</t>
  </si>
  <si>
    <t>All Figures are in Thousands</t>
  </si>
  <si>
    <t>Canadian Pacific Kansas City</t>
  </si>
  <si>
    <t>SEPTEMBER 30</t>
  </si>
  <si>
    <t>N/A</t>
  </si>
  <si>
    <t xml:space="preserve">       equipment and joint facility rents.</t>
  </si>
  <si>
    <t>(2)   The Accounting Board approved consolidated reporting for SOO and KCSR as CPKC to commence January 1, 2024.  Any 12-month totals which did not have</t>
  </si>
  <si>
    <t xml:space="preserve">       consolidated CPKC data for the entire time period are reported here as N/A.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</si>
</sst>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F400]h:mm:ss\ AM/PM"/>
    <numFmt numFmtId="166" formatCode="0_);\(0\)"/>
  </numFmts>
  <fonts count="18">
    <font>
      <sz val="8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Helv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Geneva"/>
    </font>
    <font>
      <sz val="10"/>
      <name val="N Helvetica Narrow"/>
    </font>
    <font>
      <sz val="11"/>
      <color theme="1"/>
      <name val="Constantia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onstantia"/>
      <family val="2"/>
      <scheme val="minor"/>
    </font>
    <font>
      <sz val="8"/>
      <color theme="4"/>
      <name val="Arial"/>
      <family val="2"/>
    </font>
    <font>
      <b/>
      <sz val="9"/>
      <color indexed="81"/>
      <name val="Tahoma"/>
      <charset val="1"/>
    </font>
    <font>
      <sz val="8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0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37" fontId="2" fillId="0" borderId="0" xfId="0" applyNumberFormat="1" applyFont="1"/>
    <xf numFmtId="0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37" fontId="2" fillId="0" borderId="0" xfId="0" applyNumberFormat="1" applyFont="1" applyAlignment="1">
      <alignment horizontal="right"/>
    </xf>
    <xf numFmtId="0" fontId="4" fillId="0" borderId="0" xfId="0" applyFont="1"/>
    <xf numFmtId="37" fontId="0" fillId="0" borderId="0" xfId="0" applyNumberFormat="1" applyAlignment="1">
      <alignment horizontal="centerContinuous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1" xfId="0" applyNumberFormat="1" applyFont="1" applyBorder="1"/>
    <xf numFmtId="37" fontId="3" fillId="0" borderId="2" xfId="0" applyNumberFormat="1" applyFont="1" applyBorder="1"/>
    <xf numFmtId="37" fontId="3" fillId="0" borderId="3" xfId="0" applyNumberFormat="1" applyFont="1" applyBorder="1"/>
    <xf numFmtId="37" fontId="3" fillId="0" borderId="3" xfId="0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37" fontId="3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5" fontId="2" fillId="0" borderId="0" xfId="0" applyNumberFormat="1" applyFont="1" applyAlignment="1">
      <alignment horizontal="center" textRotation="44"/>
    </xf>
    <xf numFmtId="0" fontId="2" fillId="0" borderId="0" xfId="0" applyFont="1" applyAlignment="1">
      <alignment horizontal="center" vertical="center" wrapText="1"/>
    </xf>
    <xf numFmtId="41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165" fontId="2" fillId="0" borderId="4" xfId="0" applyNumberFormat="1" applyFont="1" applyBorder="1" applyAlignment="1">
      <alignment horizontal="center" textRotation="44"/>
    </xf>
    <xf numFmtId="165" fontId="2" fillId="0" borderId="5" xfId="0" applyNumberFormat="1" applyFont="1" applyBorder="1" applyAlignment="1">
      <alignment horizontal="center" textRotation="44"/>
    </xf>
    <xf numFmtId="165" fontId="2" fillId="0" borderId="6" xfId="0" applyNumberFormat="1" applyFont="1" applyBorder="1" applyAlignment="1">
      <alignment horizontal="center" textRotation="44"/>
    </xf>
    <xf numFmtId="0" fontId="6" fillId="0" borderId="0" xfId="0" applyFont="1" applyAlignment="1">
      <alignment horizontal="center" vertical="center"/>
    </xf>
    <xf numFmtId="41" fontId="0" fillId="0" borderId="7" xfId="0" applyNumberFormat="1" applyBorder="1"/>
    <xf numFmtId="41" fontId="0" fillId="0" borderId="8" xfId="0" applyNumberFormat="1" applyBorder="1"/>
    <xf numFmtId="41" fontId="2" fillId="0" borderId="0" xfId="0" applyNumberFormat="1" applyFont="1"/>
    <xf numFmtId="37" fontId="2" fillId="0" borderId="9" xfId="0" applyNumberFormat="1" applyFont="1" applyBorder="1"/>
    <xf numFmtId="41" fontId="2" fillId="0" borderId="7" xfId="0" applyNumberFormat="1" applyFont="1" applyBorder="1"/>
    <xf numFmtId="41" fontId="2" fillId="0" borderId="8" xfId="0" applyNumberFormat="1" applyFont="1" applyBorder="1"/>
    <xf numFmtId="0" fontId="2" fillId="0" borderId="0" xfId="0" applyFont="1" applyAlignment="1">
      <alignment horizontal="center" wrapText="1"/>
    </xf>
    <xf numFmtId="0" fontId="6" fillId="0" borderId="0" xfId="0" applyFont="1"/>
    <xf numFmtId="0" fontId="4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37" fontId="3" fillId="0" borderId="11" xfId="0" applyNumberFormat="1" applyFont="1" applyBorder="1" applyAlignment="1">
      <alignment horizontal="centerContinuous"/>
    </xf>
    <xf numFmtId="37" fontId="3" fillId="0" borderId="12" xfId="0" applyNumberFormat="1" applyFont="1" applyBorder="1" applyAlignment="1">
      <alignment horizontal="centerContinuous"/>
    </xf>
    <xf numFmtId="9" fontId="3" fillId="0" borderId="11" xfId="37" applyFont="1" applyBorder="1" applyAlignment="1">
      <alignment horizontal="centerContinuous"/>
    </xf>
    <xf numFmtId="0" fontId="4" fillId="0" borderId="13" xfId="0" applyFont="1" applyBorder="1" applyAlignment="1">
      <alignment horizontal="centerContinuous"/>
    </xf>
    <xf numFmtId="37" fontId="3" fillId="0" borderId="0" xfId="0" applyNumberFormat="1" applyFont="1"/>
    <xf numFmtId="37" fontId="3" fillId="0" borderId="9" xfId="0" applyNumberFormat="1" applyFont="1" applyBorder="1"/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1" xfId="0" applyFont="1" applyBorder="1"/>
    <xf numFmtId="37" fontId="3" fillId="0" borderId="13" xfId="0" applyNumberFormat="1" applyFont="1" applyBorder="1"/>
    <xf numFmtId="166" fontId="3" fillId="0" borderId="13" xfId="0" applyNumberFormat="1" applyFont="1" applyBorder="1"/>
    <xf numFmtId="41" fontId="15" fillId="0" borderId="0" xfId="0" applyNumberFormat="1" applyFont="1" applyAlignment="1">
      <alignment horizontal="left"/>
    </xf>
    <xf numFmtId="37" fontId="2" fillId="0" borderId="14" xfId="0" applyNumberFormat="1" applyFont="1" applyBorder="1" applyAlignment="1">
      <alignment horizontal="center" vertical="center"/>
    </xf>
    <xf numFmtId="37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5" fillId="0" borderId="0" xfId="1" applyNumberFormat="1" applyFont="1" applyFill="1"/>
    <xf numFmtId="0" fontId="17" fillId="0" borderId="0" xfId="0" applyFont="1"/>
    <xf numFmtId="41" fontId="0" fillId="0" borderId="4" xfId="0" applyNumberFormat="1" applyBorder="1"/>
    <xf numFmtId="41" fontId="0" fillId="0" borderId="5" xfId="0" applyNumberFormat="1" applyBorder="1"/>
    <xf numFmtId="41" fontId="2" fillId="0" borderId="5" xfId="0" applyNumberFormat="1" applyFont="1" applyBorder="1"/>
    <xf numFmtId="41" fontId="2" fillId="0" borderId="6" xfId="0" applyNumberFormat="1" applyFont="1" applyBorder="1"/>
    <xf numFmtId="41" fontId="0" fillId="0" borderId="6" xfId="0" applyNumberFormat="1" applyBorder="1"/>
    <xf numFmtId="0" fontId="2" fillId="0" borderId="15" xfId="0" applyFont="1" applyBorder="1" applyAlignment="1">
      <alignment horizontal="center" vertical="center" wrapText="1"/>
    </xf>
    <xf numFmtId="164" fontId="2" fillId="0" borderId="0" xfId="1" applyNumberFormat="1" applyFont="1"/>
    <xf numFmtId="1" fontId="2" fillId="0" borderId="0" xfId="0" applyNumberFormat="1" applyFont="1"/>
    <xf numFmtId="37" fontId="2" fillId="0" borderId="13" xfId="0" applyNumberFormat="1" applyFont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</cellXfs>
  <cellStyles count="40">
    <cellStyle name="Comma" xfId="1" builtinId="3"/>
    <cellStyle name="Comma 10 11" xfId="2" xr:uid="{D34397AA-6DC3-49EC-8E6B-197DE4C0E3D9}"/>
    <cellStyle name="Comma 2" xfId="3" xr:uid="{E42AB756-E5D6-4B38-969A-4970EF47C566}"/>
    <cellStyle name="Comma 3" xfId="4" xr:uid="{596495F0-211C-4BBF-9AB8-BCA8CE1CF7D5}"/>
    <cellStyle name="Comma 4" xfId="5" xr:uid="{D343B565-ECD4-4735-BCFE-D7E39F5C1CA6}"/>
    <cellStyle name="Currency 2" xfId="6" xr:uid="{1BE0D7E9-4A28-44E0-969C-7C4A659EC2E9}"/>
    <cellStyle name="Hyperlink 2" xfId="7" xr:uid="{9415A959-F313-4AC7-989A-DE938593FB0B}"/>
    <cellStyle name="Normal" xfId="0" builtinId="0"/>
    <cellStyle name="Normal - Style1" xfId="8" xr:uid="{E079B68B-F57F-44BA-9A9D-56271AB0A748}"/>
    <cellStyle name="Normal - Style1 4 2_4) FAS 143" xfId="9" xr:uid="{1BB08A10-2C6D-466E-82B2-EABC1C40EBCD}"/>
    <cellStyle name="Normal 2" xfId="10" xr:uid="{8CE9317C-C641-444D-AEC4-D6662BF05BA2}"/>
    <cellStyle name="Normal 283" xfId="11" xr:uid="{636C80E6-8140-4F6D-838E-BA0E17C48425}"/>
    <cellStyle name="Normal 285" xfId="12" xr:uid="{1434BA60-0DB2-48E4-B2F3-81BF9C20B8CF}"/>
    <cellStyle name="Normal 287" xfId="13" xr:uid="{FE26E20B-359B-47A8-BF9E-D1174FEAE611}"/>
    <cellStyle name="Normal 288" xfId="14" xr:uid="{4D60DA29-68C6-405C-8D62-5EA8E5119B79}"/>
    <cellStyle name="Normal 289" xfId="15" xr:uid="{DA118D16-8646-409D-BCE3-9AB8326E487A}"/>
    <cellStyle name="Normal 290" xfId="16" xr:uid="{626E53FF-A4B2-4253-A1EB-6CB6AA6C98C9}"/>
    <cellStyle name="Normal 291" xfId="17" xr:uid="{25488F93-D505-41DF-B163-51A70C7B9B3B}"/>
    <cellStyle name="Normal 292" xfId="18" xr:uid="{EB0E7035-038F-4B63-B6D9-7EF5338716BD}"/>
    <cellStyle name="Normal 293" xfId="19" xr:uid="{4832B62B-552B-44AA-9734-41C5417E09C2}"/>
    <cellStyle name="Normal 295" xfId="20" xr:uid="{D16538E9-FBF3-495A-B32E-DA289AD72AED}"/>
    <cellStyle name="Normal 296" xfId="21" xr:uid="{8E7C0610-DA09-4EE9-A124-4E6197457689}"/>
    <cellStyle name="Normal 297" xfId="22" xr:uid="{6F094E3C-3125-443C-B194-043F02176452}"/>
    <cellStyle name="Normal 3" xfId="23" xr:uid="{4C6E5EB9-BF48-4E69-B276-C8034CC29518}"/>
    <cellStyle name="Normal 4" xfId="24" xr:uid="{0A18E604-0CDB-4CA9-B3EF-0BB3EB4A2B0F}"/>
    <cellStyle name="Normal 45" xfId="25" xr:uid="{4B5927E9-8468-4ECE-9967-59A1BF4CAEAE}"/>
    <cellStyle name="Normal 5" xfId="26" xr:uid="{E1BA35B4-AB60-4C01-B562-F5A72AC900E3}"/>
    <cellStyle name="Normal 51" xfId="27" xr:uid="{4B3FFA4B-DFD9-4FC3-B152-69E19F54E96F}"/>
    <cellStyle name="Normal 52" xfId="28" xr:uid="{8FC62732-D97F-432D-96E7-220B76CA2560}"/>
    <cellStyle name="Normal 53" xfId="29" xr:uid="{44C2C093-56C8-41BF-A03B-30392A0D473B}"/>
    <cellStyle name="Normal 54" xfId="30" xr:uid="{72A8B91A-32D3-4ECE-A2EB-AB8A88167869}"/>
    <cellStyle name="Normal 56" xfId="31" xr:uid="{2C0F47AE-554D-4EF8-AB79-456F1C9D8927}"/>
    <cellStyle name="Normal 59" xfId="32" xr:uid="{DF2E65BD-5D66-4A26-BDFA-0450B1D7B8DC}"/>
    <cellStyle name="Normal 6" xfId="33" xr:uid="{14641350-1725-46BC-99BB-39A0138B6BD7}"/>
    <cellStyle name="Normal 6 2" xfId="34" xr:uid="{D47D2A15-BE05-4966-8F69-988E7614BA2A}"/>
    <cellStyle name="Normal 60" xfId="35" xr:uid="{46FB4137-39B0-4370-AECA-68AFB55A1855}"/>
    <cellStyle name="Normal 7" xfId="36" xr:uid="{E27864C2-E715-4967-ADA1-FB5C60B19D1E}"/>
    <cellStyle name="Percent" xfId="37" builtinId="5"/>
    <cellStyle name="Percent 2" xfId="38" xr:uid="{28EFF032-E2A5-4455-970D-9C0FEA437F69}"/>
    <cellStyle name="Percent 3" xfId="39" xr:uid="{618509E1-8D63-492F-AE8B-10F6EE6E4F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low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Flo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Flo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D795-4B7D-42C9-9777-A9E2C3D49DFF}">
  <sheetPr>
    <pageSetUpPr fitToPage="1"/>
  </sheetPr>
  <dimension ref="A1:BK118"/>
  <sheetViews>
    <sheetView tabSelected="1" zoomScaleNormal="100" workbookViewId="0">
      <pane ySplit="9" topLeftCell="A57" activePane="bottomLeft" state="frozen"/>
      <selection pane="bottomLeft" activeCell="C5" sqref="C5"/>
    </sheetView>
  </sheetViews>
  <sheetFormatPr defaultRowHeight="10"/>
  <cols>
    <col min="1" max="1" width="38" bestFit="1" customWidth="1"/>
    <col min="2" max="2" width="14" bestFit="1" customWidth="1"/>
    <col min="3" max="4" width="11.44140625" customWidth="1"/>
    <col min="5" max="5" width="12.44140625" customWidth="1"/>
    <col min="6" max="6" width="11.44140625" customWidth="1"/>
    <col min="7" max="8" width="10.44140625" customWidth="1"/>
    <col min="9" max="9" width="12.44140625" customWidth="1"/>
    <col min="10" max="12" width="10.44140625" customWidth="1"/>
    <col min="13" max="13" width="12.44140625" customWidth="1"/>
    <col min="14" max="14" width="10.44140625" customWidth="1"/>
    <col min="15" max="16" width="9.44140625" customWidth="1"/>
    <col min="17" max="17" width="12.44140625" customWidth="1"/>
    <col min="18" max="18" width="11.44140625" customWidth="1"/>
    <col min="19" max="20" width="10.44140625" customWidth="1"/>
    <col min="21" max="21" width="12.44140625" customWidth="1"/>
    <col min="22" max="22" width="10.44140625" customWidth="1"/>
    <col min="23" max="23" width="9.44140625" customWidth="1"/>
    <col min="24" max="24" width="9.6640625" customWidth="1"/>
    <col min="25" max="25" width="12.6640625" customWidth="1"/>
    <col min="26" max="26" width="10.44140625" customWidth="1"/>
    <col min="27" max="27" width="9.44140625" customWidth="1"/>
    <col min="28" max="28" width="9.6640625" customWidth="1"/>
    <col min="29" max="29" width="12.6640625" customWidth="1"/>
    <col min="30" max="32" width="11.44140625" bestFit="1" customWidth="1"/>
    <col min="33" max="33" width="13.77734375" customWidth="1"/>
    <col min="34" max="34" width="35.6640625" bestFit="1" customWidth="1"/>
    <col min="35" max="35" width="11.44140625" bestFit="1" customWidth="1"/>
    <col min="36" max="37" width="10.44140625" bestFit="1" customWidth="1"/>
    <col min="38" max="38" width="12.6640625" bestFit="1" customWidth="1"/>
    <col min="39" max="39" width="12.44140625" bestFit="1" customWidth="1"/>
    <col min="40" max="40" width="11.44140625" bestFit="1" customWidth="1"/>
    <col min="41" max="41" width="10.44140625" bestFit="1" customWidth="1"/>
    <col min="42" max="42" width="12.6640625" bestFit="1" customWidth="1"/>
    <col min="43" max="43" width="12.44140625" bestFit="1" customWidth="1"/>
    <col min="44" max="45" width="9.44140625" bestFit="1" customWidth="1"/>
    <col min="46" max="46" width="12.6640625" bestFit="1" customWidth="1"/>
    <col min="47" max="47" width="10.44140625" bestFit="1" customWidth="1"/>
    <col min="48" max="49" width="9.44140625" bestFit="1" customWidth="1"/>
    <col min="50" max="50" width="12.6640625" bestFit="1" customWidth="1"/>
    <col min="51" max="51" width="11.44140625" bestFit="1" customWidth="1"/>
    <col min="52" max="53" width="10.44140625" bestFit="1" customWidth="1"/>
    <col min="54" max="54" width="12.6640625" bestFit="1" customWidth="1"/>
    <col min="55" max="55" width="10.44140625" bestFit="1" customWidth="1"/>
    <col min="56" max="56" width="9.44140625" bestFit="1" customWidth="1"/>
    <col min="57" max="57" width="9.6640625" bestFit="1" customWidth="1"/>
    <col min="58" max="58" width="12.6640625" bestFit="1" customWidth="1"/>
    <col min="59" max="59" width="11.44140625" bestFit="1" customWidth="1"/>
    <col min="60" max="61" width="10.44140625" bestFit="1" customWidth="1"/>
    <col min="62" max="62" width="12.44140625" bestFit="1" customWidth="1"/>
    <col min="63" max="63" width="12.6640625" customWidth="1"/>
    <col min="66" max="66" width="9.33203125" customWidth="1"/>
  </cols>
  <sheetData>
    <row r="1" spans="1:63" ht="20">
      <c r="A1" s="50" t="s">
        <v>151</v>
      </c>
      <c r="B1" s="40" t="s">
        <v>89</v>
      </c>
      <c r="C1" s="5" t="s">
        <v>115</v>
      </c>
    </row>
    <row r="2" spans="1:63">
      <c r="A2" s="51">
        <v>2025</v>
      </c>
      <c r="B2" s="5" t="s">
        <v>88</v>
      </c>
    </row>
    <row r="3" spans="1:63">
      <c r="A3" s="41" t="str">
        <f>"QUARTER ENDED "&amp;A1</f>
        <v>QUARTER ENDED SEPTEMBER 30</v>
      </c>
      <c r="B3" s="1" t="s">
        <v>149</v>
      </c>
      <c r="D3" s="59"/>
    </row>
    <row r="4" spans="1:63">
      <c r="A4" s="41" t="str">
        <f>"12 MONTHS ENDED "&amp;A1</f>
        <v>12 MONTHS ENDED SEPTEMBER 30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Y4" s="1"/>
      <c r="Z4" s="36"/>
      <c r="AA4" s="36"/>
      <c r="AB4" s="36"/>
      <c r="AC4" s="36"/>
    </row>
    <row r="5" spans="1:63" ht="10.5">
      <c r="A5" s="29">
        <f>A2</f>
        <v>2025</v>
      </c>
      <c r="C5" s="1"/>
      <c r="D5" s="3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Y5" s="1"/>
      <c r="Z5" s="68"/>
      <c r="AA5" s="68"/>
      <c r="AB5" s="68"/>
      <c r="AC5" s="69"/>
    </row>
    <row r="6" spans="1:63" ht="11" thickBot="1">
      <c r="A6" s="29">
        <f>A5-1</f>
        <v>2024</v>
      </c>
      <c r="B6" s="1"/>
      <c r="D6" s="1"/>
      <c r="E6" s="36"/>
      <c r="F6" s="1"/>
      <c r="G6" s="61"/>
      <c r="H6" s="1"/>
      <c r="I6" s="1"/>
      <c r="J6" s="1"/>
      <c r="K6" s="1"/>
      <c r="L6" s="1"/>
      <c r="M6" s="1"/>
      <c r="N6" s="1"/>
      <c r="O6" s="1"/>
      <c r="P6" s="1"/>
    </row>
    <row r="7" spans="1:63">
      <c r="A7" s="33" t="s">
        <v>72</v>
      </c>
      <c r="B7" s="30"/>
      <c r="C7" s="31"/>
      <c r="D7" s="31"/>
      <c r="E7" s="32"/>
      <c r="F7" s="30"/>
      <c r="G7" s="31"/>
      <c r="H7" s="31"/>
      <c r="I7" s="32"/>
      <c r="J7" s="30"/>
      <c r="K7" s="31"/>
      <c r="L7" s="31"/>
      <c r="M7" s="32"/>
      <c r="N7" s="30"/>
      <c r="O7" s="31"/>
      <c r="P7" s="31"/>
      <c r="Q7" s="32"/>
      <c r="R7" s="30"/>
      <c r="S7" s="31"/>
      <c r="T7" s="31"/>
      <c r="U7" s="32"/>
      <c r="V7" s="30"/>
      <c r="W7" s="31"/>
      <c r="X7" s="31"/>
      <c r="Y7" s="32"/>
      <c r="Z7" s="30"/>
      <c r="AA7" s="31"/>
      <c r="AB7" s="31"/>
      <c r="AC7" s="32"/>
      <c r="AD7" s="30"/>
      <c r="AE7" s="31"/>
      <c r="AF7" s="31"/>
      <c r="AG7" s="32"/>
      <c r="BK7" s="22"/>
    </row>
    <row r="8" spans="1:63" s="7" customFormat="1" ht="10.5">
      <c r="A8"/>
      <c r="B8" s="73" t="s">
        <v>19</v>
      </c>
      <c r="C8" s="74"/>
      <c r="D8" s="74"/>
      <c r="E8" s="75"/>
      <c r="F8" s="73" t="s">
        <v>20</v>
      </c>
      <c r="G8" s="74"/>
      <c r="H8" s="74"/>
      <c r="I8" s="75"/>
      <c r="J8" s="73" t="s">
        <v>21</v>
      </c>
      <c r="K8" s="74"/>
      <c r="L8" s="74"/>
      <c r="M8" s="75"/>
      <c r="N8" s="73" t="s">
        <v>22</v>
      </c>
      <c r="O8" s="74"/>
      <c r="P8" s="74"/>
      <c r="Q8" s="75"/>
      <c r="R8" s="73" t="s">
        <v>23</v>
      </c>
      <c r="S8" s="74"/>
      <c r="T8" s="74"/>
      <c r="U8" s="75"/>
      <c r="V8" s="73" t="s">
        <v>24</v>
      </c>
      <c r="W8" s="74"/>
      <c r="X8" s="74"/>
      <c r="Y8" s="75"/>
      <c r="Z8" s="73" t="s">
        <v>150</v>
      </c>
      <c r="AA8" s="74"/>
      <c r="AB8" s="74"/>
      <c r="AC8" s="75"/>
      <c r="AD8" s="73" t="s">
        <v>25</v>
      </c>
      <c r="AE8" s="74"/>
      <c r="AF8" s="74"/>
      <c r="AG8" s="75"/>
      <c r="BK8" s="21"/>
    </row>
    <row r="9" spans="1:63" ht="34" customHeight="1" thickBot="1">
      <c r="B9" s="56" t="s">
        <v>0</v>
      </c>
      <c r="C9" s="57" t="s">
        <v>1</v>
      </c>
      <c r="D9" s="57" t="s">
        <v>2</v>
      </c>
      <c r="E9" s="58" t="s">
        <v>37</v>
      </c>
      <c r="F9" s="56" t="s">
        <v>0</v>
      </c>
      <c r="G9" s="57" t="s">
        <v>1</v>
      </c>
      <c r="H9" s="57" t="s">
        <v>2</v>
      </c>
      <c r="I9" s="58" t="s">
        <v>37</v>
      </c>
      <c r="J9" s="56" t="s">
        <v>0</v>
      </c>
      <c r="K9" s="57" t="s">
        <v>1</v>
      </c>
      <c r="L9" s="57" t="s">
        <v>2</v>
      </c>
      <c r="M9" s="58" t="s">
        <v>37</v>
      </c>
      <c r="N9" s="56" t="s">
        <v>0</v>
      </c>
      <c r="O9" s="57" t="s">
        <v>1</v>
      </c>
      <c r="P9" s="57" t="s">
        <v>2</v>
      </c>
      <c r="Q9" s="58" t="s">
        <v>37</v>
      </c>
      <c r="R9" s="56" t="s">
        <v>0</v>
      </c>
      <c r="S9" s="57" t="s">
        <v>1</v>
      </c>
      <c r="T9" s="57" t="s">
        <v>2</v>
      </c>
      <c r="U9" s="58" t="s">
        <v>37</v>
      </c>
      <c r="V9" s="56" t="s">
        <v>0</v>
      </c>
      <c r="W9" s="57" t="s">
        <v>1</v>
      </c>
      <c r="X9" s="57" t="s">
        <v>2</v>
      </c>
      <c r="Y9" s="58" t="s">
        <v>37</v>
      </c>
      <c r="Z9" s="56" t="s">
        <v>0</v>
      </c>
      <c r="AA9" s="57" t="s">
        <v>1</v>
      </c>
      <c r="AB9" s="57" t="s">
        <v>2</v>
      </c>
      <c r="AC9" s="58" t="s">
        <v>37</v>
      </c>
      <c r="AD9" s="56" t="s">
        <v>0</v>
      </c>
      <c r="AE9" s="57" t="s">
        <v>1</v>
      </c>
      <c r="AF9" s="57" t="s">
        <v>2</v>
      </c>
      <c r="AG9" s="58" t="s">
        <v>37</v>
      </c>
      <c r="AH9" s="1"/>
      <c r="BK9" s="23"/>
    </row>
    <row r="10" spans="1:63">
      <c r="A10" s="28" t="s">
        <v>38</v>
      </c>
      <c r="B10" s="34">
        <v>5059555</v>
      </c>
      <c r="C10" s="24">
        <v>893241</v>
      </c>
      <c r="D10" s="24">
        <v>901006</v>
      </c>
      <c r="E10" s="35">
        <v>157828226</v>
      </c>
      <c r="F10" s="34">
        <v>2994880</v>
      </c>
      <c r="G10" s="24">
        <v>523509</v>
      </c>
      <c r="H10" s="24">
        <v>513550</v>
      </c>
      <c r="I10" s="35">
        <v>57225813</v>
      </c>
      <c r="J10" s="34">
        <v>785931</v>
      </c>
      <c r="K10" s="24">
        <v>198012</v>
      </c>
      <c r="L10" s="24">
        <v>125318</v>
      </c>
      <c r="M10" s="35">
        <v>13716199</v>
      </c>
      <c r="N10" s="34">
        <v>295477</v>
      </c>
      <c r="O10" s="24">
        <v>51029</v>
      </c>
      <c r="P10" s="24">
        <v>31483</v>
      </c>
      <c r="Q10" s="35">
        <v>7361006</v>
      </c>
      <c r="R10" s="34">
        <v>2873937</v>
      </c>
      <c r="S10" s="24">
        <v>553077</v>
      </c>
      <c r="T10" s="24">
        <v>546181</v>
      </c>
      <c r="U10" s="35">
        <v>47211348</v>
      </c>
      <c r="V10" s="34">
        <v>368727</v>
      </c>
      <c r="W10" s="24">
        <v>32839</v>
      </c>
      <c r="X10" s="24">
        <v>12173</v>
      </c>
      <c r="Y10" s="35">
        <v>8426370</v>
      </c>
      <c r="Z10" s="34"/>
      <c r="AA10" s="24"/>
      <c r="AB10" s="24"/>
      <c r="AC10" s="35"/>
      <c r="AD10" s="34">
        <v>5213570</v>
      </c>
      <c r="AE10" s="24">
        <v>1038131</v>
      </c>
      <c r="AF10" s="24">
        <v>1030977</v>
      </c>
      <c r="AG10" s="35">
        <v>126629000</v>
      </c>
      <c r="AH10" s="1"/>
      <c r="BK10" s="24"/>
    </row>
    <row r="11" spans="1:63">
      <c r="A11" s="28" t="s">
        <v>39</v>
      </c>
      <c r="B11" s="34">
        <v>5340810</v>
      </c>
      <c r="C11" s="24">
        <v>1010251</v>
      </c>
      <c r="D11" s="24">
        <v>1030793</v>
      </c>
      <c r="E11" s="35">
        <v>168176274</v>
      </c>
      <c r="F11" s="34">
        <v>2877826</v>
      </c>
      <c r="G11" s="24">
        <v>441810</v>
      </c>
      <c r="H11" s="24">
        <v>430910</v>
      </c>
      <c r="I11" s="35">
        <v>55628939</v>
      </c>
      <c r="J11" s="34">
        <v>784348</v>
      </c>
      <c r="K11" s="24">
        <v>199866</v>
      </c>
      <c r="L11" s="24">
        <v>130418</v>
      </c>
      <c r="M11" s="35">
        <v>13821648</v>
      </c>
      <c r="N11" s="34">
        <v>309030</v>
      </c>
      <c r="O11" s="24">
        <v>55546</v>
      </c>
      <c r="P11" s="24">
        <v>42860</v>
      </c>
      <c r="Q11" s="35">
        <v>7992163</v>
      </c>
      <c r="R11" s="34">
        <v>2693444</v>
      </c>
      <c r="S11" s="24">
        <v>426207</v>
      </c>
      <c r="T11" s="24">
        <v>423773</v>
      </c>
      <c r="U11" s="35">
        <v>46117787</v>
      </c>
      <c r="V11" s="34">
        <v>406611</v>
      </c>
      <c r="W11" s="24">
        <v>71042</v>
      </c>
      <c r="X11" s="24">
        <v>47781</v>
      </c>
      <c r="Y11" s="35">
        <v>8845320</v>
      </c>
      <c r="Z11" s="34"/>
      <c r="AA11" s="24"/>
      <c r="AB11" s="24"/>
      <c r="AC11" s="35"/>
      <c r="AD11" s="34">
        <v>5336309</v>
      </c>
      <c r="AE11" s="24">
        <v>1068511</v>
      </c>
      <c r="AF11" s="24">
        <v>1075856</v>
      </c>
      <c r="AG11" s="35">
        <v>133306000</v>
      </c>
      <c r="AH11" s="1"/>
      <c r="BK11" s="24"/>
    </row>
    <row r="12" spans="1:63">
      <c r="A12" s="28" t="s">
        <v>40</v>
      </c>
      <c r="B12" s="34">
        <v>5435636</v>
      </c>
      <c r="C12" s="24">
        <v>979431</v>
      </c>
      <c r="D12" s="24">
        <v>996312</v>
      </c>
      <c r="E12" s="35">
        <v>168279360</v>
      </c>
      <c r="F12" s="34">
        <v>2648256</v>
      </c>
      <c r="G12" s="24">
        <v>345517</v>
      </c>
      <c r="H12" s="24">
        <v>434988</v>
      </c>
      <c r="I12" s="35">
        <v>53788532</v>
      </c>
      <c r="J12" s="34">
        <v>804867</v>
      </c>
      <c r="K12" s="24">
        <v>150638</v>
      </c>
      <c r="L12" s="24">
        <v>81316</v>
      </c>
      <c r="M12" s="35">
        <v>14645594</v>
      </c>
      <c r="N12" s="34">
        <v>303409</v>
      </c>
      <c r="O12" s="24">
        <v>63755</v>
      </c>
      <c r="P12" s="24">
        <v>49822</v>
      </c>
      <c r="Q12" s="35">
        <v>7810025</v>
      </c>
      <c r="R12" s="34">
        <v>2684017</v>
      </c>
      <c r="S12" s="24">
        <v>452704</v>
      </c>
      <c r="T12" s="24">
        <v>443141</v>
      </c>
      <c r="U12" s="35">
        <v>46838172</v>
      </c>
      <c r="V12" s="34">
        <v>439951</v>
      </c>
      <c r="W12" s="24">
        <v>11462</v>
      </c>
      <c r="X12" s="24">
        <v>-32983</v>
      </c>
      <c r="Y12" s="35">
        <v>10238715</v>
      </c>
      <c r="Z12" s="34"/>
      <c r="AA12" s="24"/>
      <c r="AB12" s="24"/>
      <c r="AC12" s="35"/>
      <c r="AD12" s="34">
        <v>5241855</v>
      </c>
      <c r="AE12" s="24">
        <v>1021832</v>
      </c>
      <c r="AF12" s="24">
        <v>1058675</v>
      </c>
      <c r="AG12" s="35">
        <v>128469000</v>
      </c>
      <c r="AH12" s="1"/>
      <c r="BK12" s="24"/>
    </row>
    <row r="13" spans="1:63">
      <c r="A13" s="28" t="s">
        <v>41</v>
      </c>
      <c r="B13" s="34">
        <v>5276834</v>
      </c>
      <c r="C13" s="24">
        <v>908458</v>
      </c>
      <c r="D13" s="24">
        <v>910507</v>
      </c>
      <c r="E13" s="35">
        <v>162715370</v>
      </c>
      <c r="F13" s="34">
        <v>2882975</v>
      </c>
      <c r="G13" s="24">
        <v>435010</v>
      </c>
      <c r="H13" s="24">
        <v>452433</v>
      </c>
      <c r="I13" s="35">
        <v>55731883</v>
      </c>
      <c r="J13" s="34">
        <v>756143</v>
      </c>
      <c r="K13" s="24">
        <v>188406</v>
      </c>
      <c r="L13" s="24">
        <v>105383</v>
      </c>
      <c r="M13" s="35">
        <v>14515978</v>
      </c>
      <c r="N13" s="34">
        <v>294209</v>
      </c>
      <c r="O13" s="24">
        <v>49890</v>
      </c>
      <c r="P13" s="24">
        <v>37919</v>
      </c>
      <c r="Q13" s="35">
        <v>7466130</v>
      </c>
      <c r="R13" s="34">
        <v>2737433</v>
      </c>
      <c r="S13" s="24">
        <v>379981</v>
      </c>
      <c r="T13" s="24">
        <v>467442</v>
      </c>
      <c r="U13" s="35">
        <v>47667230</v>
      </c>
      <c r="V13" s="34">
        <v>426385</v>
      </c>
      <c r="W13" s="24">
        <v>70316</v>
      </c>
      <c r="X13" s="24">
        <v>47249</v>
      </c>
      <c r="Y13" s="35">
        <v>10279543</v>
      </c>
      <c r="Z13" s="34"/>
      <c r="AA13" s="24"/>
      <c r="AB13" s="24"/>
      <c r="AC13" s="35"/>
      <c r="AD13" s="34">
        <v>5284159</v>
      </c>
      <c r="AE13" s="24">
        <v>966135</v>
      </c>
      <c r="AF13" s="24">
        <v>997777</v>
      </c>
      <c r="AG13" s="35">
        <v>123963000</v>
      </c>
      <c r="AH13" s="1"/>
      <c r="BK13" s="24"/>
    </row>
    <row r="14" spans="1:63">
      <c r="A14" s="28" t="s">
        <v>42</v>
      </c>
      <c r="B14" s="34">
        <v>5310478</v>
      </c>
      <c r="C14" s="24">
        <v>981271</v>
      </c>
      <c r="D14" s="24">
        <v>1010983</v>
      </c>
      <c r="E14" s="35">
        <v>161193694</v>
      </c>
      <c r="F14" s="34">
        <v>2984629</v>
      </c>
      <c r="G14" s="24">
        <v>509374</v>
      </c>
      <c r="H14" s="24">
        <v>504308</v>
      </c>
      <c r="I14" s="35">
        <v>57375534</v>
      </c>
      <c r="J14" s="34">
        <v>817026</v>
      </c>
      <c r="K14" s="24">
        <v>212210</v>
      </c>
      <c r="L14" s="36">
        <v>156312</v>
      </c>
      <c r="M14" s="35">
        <v>14529507</v>
      </c>
      <c r="N14" s="34">
        <v>309528</v>
      </c>
      <c r="O14" s="24">
        <v>59959</v>
      </c>
      <c r="P14" s="24">
        <v>41302</v>
      </c>
      <c r="Q14" s="35">
        <v>7933229</v>
      </c>
      <c r="R14" s="34">
        <v>2802156</v>
      </c>
      <c r="S14" s="24">
        <v>498216</v>
      </c>
      <c r="T14" s="24">
        <v>480967</v>
      </c>
      <c r="U14" s="35">
        <v>48621452</v>
      </c>
      <c r="V14" s="34">
        <v>427991</v>
      </c>
      <c r="W14" s="24">
        <v>89844</v>
      </c>
      <c r="X14" s="24">
        <v>70025</v>
      </c>
      <c r="Y14" s="35">
        <v>10119840</v>
      </c>
      <c r="Z14" s="34"/>
      <c r="AA14" s="24"/>
      <c r="AB14" s="24"/>
      <c r="AC14" s="35"/>
      <c r="AD14" s="34">
        <v>5462447</v>
      </c>
      <c r="AE14" s="24">
        <v>1127968</v>
      </c>
      <c r="AF14" s="24">
        <v>1143316</v>
      </c>
      <c r="AG14" s="35">
        <v>127414000</v>
      </c>
      <c r="AH14" s="1"/>
      <c r="BK14" s="24"/>
    </row>
    <row r="15" spans="1:63">
      <c r="A15" s="28" t="s">
        <v>43</v>
      </c>
      <c r="B15" s="34">
        <v>5585835</v>
      </c>
      <c r="C15" s="24">
        <v>1066250</v>
      </c>
      <c r="D15" s="24">
        <v>1086340</v>
      </c>
      <c r="E15" s="35">
        <v>174232682</v>
      </c>
      <c r="F15" s="34">
        <v>2916893</v>
      </c>
      <c r="G15" s="24">
        <v>445097</v>
      </c>
      <c r="H15" s="24">
        <v>446145</v>
      </c>
      <c r="I15" s="35">
        <v>56323533</v>
      </c>
      <c r="J15" s="34">
        <v>835138</v>
      </c>
      <c r="K15" s="24">
        <v>221931</v>
      </c>
      <c r="L15" s="24">
        <v>137458</v>
      </c>
      <c r="M15" s="35">
        <v>14627569</v>
      </c>
      <c r="N15" s="34">
        <v>331638</v>
      </c>
      <c r="O15" s="24">
        <v>65557</v>
      </c>
      <c r="P15" s="24">
        <v>48924</v>
      </c>
      <c r="Q15" s="35">
        <v>8916693</v>
      </c>
      <c r="R15" s="34">
        <v>2824107</v>
      </c>
      <c r="S15" s="24">
        <v>514056</v>
      </c>
      <c r="T15" s="24">
        <v>505195</v>
      </c>
      <c r="U15" s="35">
        <v>48327910</v>
      </c>
      <c r="V15" s="34">
        <v>438905</v>
      </c>
      <c r="W15" s="24">
        <v>108768</v>
      </c>
      <c r="X15" s="24">
        <v>87524</v>
      </c>
      <c r="Y15" s="35">
        <v>9913956</v>
      </c>
      <c r="Z15" s="34"/>
      <c r="AA15" s="24"/>
      <c r="AB15" s="24"/>
      <c r="AC15" s="35"/>
      <c r="AD15" s="34">
        <v>5565527</v>
      </c>
      <c r="AE15" s="24">
        <v>1168753</v>
      </c>
      <c r="AF15" s="24">
        <v>1199702</v>
      </c>
      <c r="AG15" s="35">
        <v>131283000</v>
      </c>
      <c r="AH15" s="1"/>
      <c r="BK15" s="24"/>
    </row>
    <row r="16" spans="1:63">
      <c r="A16" s="28" t="s">
        <v>44</v>
      </c>
      <c r="B16" s="34">
        <v>5685295</v>
      </c>
      <c r="C16" s="24">
        <v>1198731</v>
      </c>
      <c r="D16" s="24">
        <v>1208899</v>
      </c>
      <c r="E16" s="35">
        <v>177281933</v>
      </c>
      <c r="F16" s="34">
        <v>2952917</v>
      </c>
      <c r="G16" s="24">
        <v>358801</v>
      </c>
      <c r="H16" s="24">
        <v>360187</v>
      </c>
      <c r="I16" s="35">
        <v>58044452</v>
      </c>
      <c r="J16" s="34">
        <v>830832</v>
      </c>
      <c r="K16" s="24">
        <v>210839</v>
      </c>
      <c r="L16" s="24">
        <v>128367</v>
      </c>
      <c r="M16" s="35">
        <v>15762310</v>
      </c>
      <c r="N16" s="34">
        <v>319103</v>
      </c>
      <c r="O16" s="24">
        <v>60614</v>
      </c>
      <c r="P16" s="24">
        <v>42759</v>
      </c>
      <c r="Q16" s="35">
        <v>8514918</v>
      </c>
      <c r="R16" s="34">
        <v>2881013</v>
      </c>
      <c r="S16" s="24">
        <v>561469</v>
      </c>
      <c r="T16" s="24">
        <v>544520</v>
      </c>
      <c r="U16" s="35">
        <v>48935167</v>
      </c>
      <c r="V16" s="34">
        <v>423508</v>
      </c>
      <c r="W16" s="24">
        <v>83397</v>
      </c>
      <c r="X16" s="24">
        <v>60803</v>
      </c>
      <c r="Y16" s="35">
        <v>9971289</v>
      </c>
      <c r="Z16" s="34"/>
      <c r="AA16" s="24"/>
      <c r="AB16" s="24"/>
      <c r="AC16" s="35"/>
      <c r="AD16" s="34">
        <v>5622989</v>
      </c>
      <c r="AE16" s="24">
        <v>1147034</v>
      </c>
      <c r="AF16" s="24">
        <v>1195431</v>
      </c>
      <c r="AG16" s="35">
        <v>131612000</v>
      </c>
      <c r="AH16" s="1"/>
      <c r="BK16" s="24"/>
    </row>
    <row r="17" spans="1:63">
      <c r="A17" s="28" t="s">
        <v>45</v>
      </c>
      <c r="B17" s="34">
        <v>5407013</v>
      </c>
      <c r="C17" s="24">
        <v>820838</v>
      </c>
      <c r="D17" s="24">
        <v>835032</v>
      </c>
      <c r="E17" s="35">
        <v>168651992</v>
      </c>
      <c r="F17" s="34">
        <v>2934000</v>
      </c>
      <c r="G17" s="24">
        <v>371491</v>
      </c>
      <c r="H17" s="24">
        <v>390858</v>
      </c>
      <c r="I17" s="35">
        <v>57497067</v>
      </c>
      <c r="J17" s="34">
        <v>766011</v>
      </c>
      <c r="K17" s="24">
        <v>144385</v>
      </c>
      <c r="L17" s="24">
        <v>63978</v>
      </c>
      <c r="M17" s="35">
        <v>15376561</v>
      </c>
      <c r="N17" s="34">
        <v>322616</v>
      </c>
      <c r="O17" s="24">
        <v>51193</v>
      </c>
      <c r="P17" s="24">
        <v>27453</v>
      </c>
      <c r="Q17" s="35">
        <v>8713363</v>
      </c>
      <c r="R17" s="34">
        <v>2688764</v>
      </c>
      <c r="S17" s="24">
        <v>391635</v>
      </c>
      <c r="T17" s="24">
        <v>378838</v>
      </c>
      <c r="U17" s="35">
        <v>47105025</v>
      </c>
      <c r="V17" s="34">
        <v>407979</v>
      </c>
      <c r="W17" s="24">
        <v>71597</v>
      </c>
      <c r="X17" s="24">
        <v>56370</v>
      </c>
      <c r="Y17" s="35">
        <v>9212880</v>
      </c>
      <c r="Z17" s="34"/>
      <c r="AA17" s="24"/>
      <c r="AB17" s="24"/>
      <c r="AC17" s="35"/>
      <c r="AD17" s="34">
        <v>5630869</v>
      </c>
      <c r="AE17" s="24">
        <v>1091951</v>
      </c>
      <c r="AF17" s="24">
        <v>1137158</v>
      </c>
      <c r="AG17" s="35">
        <v>131543000</v>
      </c>
      <c r="AH17" s="1"/>
      <c r="BK17" s="24"/>
    </row>
    <row r="18" spans="1:63">
      <c r="A18" s="28" t="s">
        <v>46</v>
      </c>
      <c r="B18" s="34">
        <v>5691699</v>
      </c>
      <c r="C18" s="24">
        <v>1012790</v>
      </c>
      <c r="D18" s="24">
        <v>1035360</v>
      </c>
      <c r="E18" s="35">
        <v>175466907</v>
      </c>
      <c r="F18" s="34">
        <v>3160744</v>
      </c>
      <c r="G18" s="24">
        <v>520591</v>
      </c>
      <c r="H18" s="24">
        <v>510656</v>
      </c>
      <c r="I18" s="35">
        <v>63521312</v>
      </c>
      <c r="J18" s="34">
        <v>881465</v>
      </c>
      <c r="K18" s="24">
        <v>226661</v>
      </c>
      <c r="L18" s="24">
        <v>147196</v>
      </c>
      <c r="M18" s="35">
        <v>16253887</v>
      </c>
      <c r="N18" s="34">
        <v>341198</v>
      </c>
      <c r="O18" s="24">
        <v>65622</v>
      </c>
      <c r="P18" s="24">
        <v>44684</v>
      </c>
      <c r="Q18" s="35">
        <v>8784030</v>
      </c>
      <c r="R18" s="34">
        <v>3042165</v>
      </c>
      <c r="S18" s="24">
        <v>610777</v>
      </c>
      <c r="T18" s="24">
        <v>594241</v>
      </c>
      <c r="U18" s="35">
        <v>53241586</v>
      </c>
      <c r="V18" s="34">
        <v>441157</v>
      </c>
      <c r="W18" s="24">
        <v>89396</v>
      </c>
      <c r="X18" s="24">
        <v>-160606</v>
      </c>
      <c r="Y18" s="35">
        <v>9915179</v>
      </c>
      <c r="Z18" s="34"/>
      <c r="AA18" s="24"/>
      <c r="AB18" s="24"/>
      <c r="AC18" s="35"/>
      <c r="AD18" s="34">
        <v>6008116</v>
      </c>
      <c r="AE18" s="24">
        <v>1309571</v>
      </c>
      <c r="AF18" s="24">
        <v>1343284</v>
      </c>
      <c r="AG18" s="35">
        <v>135763000</v>
      </c>
      <c r="AH18" s="1"/>
    </row>
    <row r="19" spans="1:63">
      <c r="A19" s="28" t="s">
        <v>74</v>
      </c>
      <c r="B19" s="34">
        <v>5826092</v>
      </c>
      <c r="C19" s="24">
        <v>1137144</v>
      </c>
      <c r="D19" s="24">
        <v>1170365</v>
      </c>
      <c r="E19" s="35">
        <v>177764393</v>
      </c>
      <c r="F19" s="34">
        <v>3137149</v>
      </c>
      <c r="G19" s="24">
        <v>501236</v>
      </c>
      <c r="H19" s="24">
        <v>497612</v>
      </c>
      <c r="I19" s="35">
        <v>61213937</v>
      </c>
      <c r="J19" s="34">
        <v>925184</v>
      </c>
      <c r="K19" s="24">
        <v>250339</v>
      </c>
      <c r="L19" s="24">
        <v>170057</v>
      </c>
      <c r="M19" s="35">
        <v>16573481</v>
      </c>
      <c r="N19" s="34">
        <v>360284</v>
      </c>
      <c r="O19" s="24">
        <v>72050</v>
      </c>
      <c r="P19" s="24">
        <v>50968</v>
      </c>
      <c r="Q19" s="35">
        <v>9338113</v>
      </c>
      <c r="R19" s="34">
        <v>3022859</v>
      </c>
      <c r="S19" s="24">
        <v>582665</v>
      </c>
      <c r="T19" s="24">
        <v>574608</v>
      </c>
      <c r="U19" s="35">
        <v>52723133</v>
      </c>
      <c r="V19" s="34">
        <v>470261</v>
      </c>
      <c r="W19" s="24">
        <v>125974</v>
      </c>
      <c r="X19" s="24">
        <v>107460</v>
      </c>
      <c r="Y19" s="35">
        <v>10263193</v>
      </c>
      <c r="Z19" s="34"/>
      <c r="AA19" s="24"/>
      <c r="AB19" s="24"/>
      <c r="AC19" s="35"/>
      <c r="AD19" s="34">
        <v>6174087</v>
      </c>
      <c r="AE19" s="24">
        <v>1380750</v>
      </c>
      <c r="AF19" s="24">
        <v>1428685</v>
      </c>
      <c r="AG19" s="35">
        <v>140605000</v>
      </c>
      <c r="AH19" s="1"/>
    </row>
    <row r="20" spans="1:63">
      <c r="A20" s="28" t="s">
        <v>47</v>
      </c>
      <c r="B20" s="34">
        <v>6111194</v>
      </c>
      <c r="C20" s="24">
        <v>1290668</v>
      </c>
      <c r="D20" s="24">
        <v>1309718</v>
      </c>
      <c r="E20" s="35">
        <v>189437514</v>
      </c>
      <c r="F20" s="34">
        <v>3110511</v>
      </c>
      <c r="G20" s="24">
        <v>441614</v>
      </c>
      <c r="H20" s="24">
        <v>463190</v>
      </c>
      <c r="I20" s="35">
        <v>62086196</v>
      </c>
      <c r="J20" s="34">
        <v>977655</v>
      </c>
      <c r="K20" s="24">
        <v>217884</v>
      </c>
      <c r="L20" s="24">
        <v>129804</v>
      </c>
      <c r="M20" s="35">
        <v>18160065</v>
      </c>
      <c r="N20" s="34">
        <v>335286</v>
      </c>
      <c r="O20" s="24">
        <v>70293</v>
      </c>
      <c r="P20" s="24">
        <v>49995</v>
      </c>
      <c r="Q20" s="35">
        <v>8673291</v>
      </c>
      <c r="R20" s="34">
        <v>2870443</v>
      </c>
      <c r="S20" s="24">
        <v>550013</v>
      </c>
      <c r="T20" s="24">
        <v>529425</v>
      </c>
      <c r="U20" s="35">
        <v>51950239</v>
      </c>
      <c r="V20" s="34">
        <v>451901</v>
      </c>
      <c r="W20" s="24">
        <v>103815</v>
      </c>
      <c r="X20" s="24">
        <v>85037</v>
      </c>
      <c r="Y20" s="35">
        <v>10465179</v>
      </c>
      <c r="Z20" s="34"/>
      <c r="AA20" s="24"/>
      <c r="AB20" s="24"/>
      <c r="AC20" s="35"/>
      <c r="AD20" s="34">
        <v>6149971</v>
      </c>
      <c r="AE20" s="24">
        <v>1414009</v>
      </c>
      <c r="AF20" s="24">
        <v>1505894</v>
      </c>
      <c r="AG20" s="35">
        <v>141718000</v>
      </c>
      <c r="AH20" s="1"/>
    </row>
    <row r="21" spans="1:63">
      <c r="A21" s="28" t="s">
        <v>48</v>
      </c>
      <c r="B21" s="34">
        <v>5560913</v>
      </c>
      <c r="C21" s="24">
        <v>1209205</v>
      </c>
      <c r="D21" s="24">
        <v>1253350</v>
      </c>
      <c r="E21" s="35">
        <v>177593836</v>
      </c>
      <c r="F21" s="34">
        <v>2946619</v>
      </c>
      <c r="G21" s="24">
        <v>391643</v>
      </c>
      <c r="H21" s="24">
        <v>424914</v>
      </c>
      <c r="I21" s="35">
        <v>58722390</v>
      </c>
      <c r="J21" s="34">
        <v>827265</v>
      </c>
      <c r="K21" s="24">
        <v>184538</v>
      </c>
      <c r="L21" s="24">
        <v>93958</v>
      </c>
      <c r="M21" s="35">
        <v>16133446</v>
      </c>
      <c r="N21" s="34">
        <v>310146</v>
      </c>
      <c r="O21" s="24">
        <v>58729</v>
      </c>
      <c r="P21" s="24">
        <v>38039</v>
      </c>
      <c r="Q21" s="35">
        <v>8088076</v>
      </c>
      <c r="R21" s="34">
        <v>2567231</v>
      </c>
      <c r="S21" s="24">
        <v>339270</v>
      </c>
      <c r="T21" s="24">
        <v>313795</v>
      </c>
      <c r="U21" s="35">
        <v>48824342</v>
      </c>
      <c r="V21" s="34">
        <v>417556</v>
      </c>
      <c r="W21" s="24">
        <v>93869</v>
      </c>
      <c r="X21" s="24">
        <v>81068</v>
      </c>
      <c r="Y21" s="35">
        <v>9460913</v>
      </c>
      <c r="Z21" s="34"/>
      <c r="AA21" s="24"/>
      <c r="AB21" s="24"/>
      <c r="AC21" s="35"/>
      <c r="AD21" s="34">
        <v>5610547</v>
      </c>
      <c r="AE21" s="24">
        <v>1201488</v>
      </c>
      <c r="AF21" s="24">
        <v>1246176</v>
      </c>
      <c r="AG21" s="35">
        <v>126410000</v>
      </c>
      <c r="AH21" s="1"/>
    </row>
    <row r="22" spans="1:63">
      <c r="A22" s="28" t="s">
        <v>49</v>
      </c>
      <c r="B22" s="34">
        <v>5318753</v>
      </c>
      <c r="C22" s="24">
        <v>1049934</v>
      </c>
      <c r="D22" s="24">
        <v>1082240</v>
      </c>
      <c r="E22" s="35">
        <v>172225305</v>
      </c>
      <c r="F22" s="34">
        <v>2978810</v>
      </c>
      <c r="G22" s="24">
        <v>460085</v>
      </c>
      <c r="H22" s="24">
        <v>479369</v>
      </c>
      <c r="I22" s="35">
        <v>59975119</v>
      </c>
      <c r="J22" s="34">
        <v>834873</v>
      </c>
      <c r="K22" s="24">
        <v>230755</v>
      </c>
      <c r="L22" s="24">
        <v>128592</v>
      </c>
      <c r="M22" s="35">
        <v>14870687</v>
      </c>
      <c r="N22" s="34">
        <v>282900</v>
      </c>
      <c r="O22" s="24">
        <v>46933</v>
      </c>
      <c r="P22" s="24">
        <v>26233</v>
      </c>
      <c r="Q22" s="35">
        <v>7168972</v>
      </c>
      <c r="R22" s="34">
        <v>2712882</v>
      </c>
      <c r="S22" s="24">
        <v>466695</v>
      </c>
      <c r="T22" s="24">
        <v>451372</v>
      </c>
      <c r="U22" s="35">
        <v>51509782</v>
      </c>
      <c r="V22" s="34">
        <v>390477</v>
      </c>
      <c r="W22" s="24">
        <v>77427</v>
      </c>
      <c r="X22" s="24">
        <v>61134</v>
      </c>
      <c r="Y22" s="35">
        <v>8964710</v>
      </c>
      <c r="Z22" s="34"/>
      <c r="AA22" s="24"/>
      <c r="AB22" s="24"/>
      <c r="AC22" s="35"/>
      <c r="AD22" s="34">
        <v>5425418</v>
      </c>
      <c r="AE22" s="24">
        <v>1126031</v>
      </c>
      <c r="AF22" s="24">
        <v>1307058</v>
      </c>
      <c r="AG22" s="35">
        <v>116259000</v>
      </c>
      <c r="AH22" s="1"/>
    </row>
    <row r="23" spans="1:63">
      <c r="A23" s="28" t="s">
        <v>80</v>
      </c>
      <c r="B23" s="34">
        <v>5548654</v>
      </c>
      <c r="C23" s="24">
        <v>1281418</v>
      </c>
      <c r="D23" s="24">
        <v>1309160</v>
      </c>
      <c r="E23" s="35">
        <v>178217310</v>
      </c>
      <c r="F23" s="34">
        <v>2860136</v>
      </c>
      <c r="G23" s="24">
        <v>443783</v>
      </c>
      <c r="H23" s="24">
        <v>452413</v>
      </c>
      <c r="I23" s="35">
        <v>56745033.840270318</v>
      </c>
      <c r="J23" s="34">
        <v>845275</v>
      </c>
      <c r="K23" s="24">
        <v>251880</v>
      </c>
      <c r="L23" s="24">
        <v>160559</v>
      </c>
      <c r="M23" s="35">
        <v>14970867</v>
      </c>
      <c r="N23" s="34">
        <v>332976.13363</v>
      </c>
      <c r="O23" s="24">
        <v>73079.07763</v>
      </c>
      <c r="P23" s="24">
        <v>49518.95912</v>
      </c>
      <c r="Q23" s="35">
        <v>9148239</v>
      </c>
      <c r="R23" s="34">
        <v>2713187</v>
      </c>
      <c r="S23" s="24">
        <v>481066</v>
      </c>
      <c r="T23" s="24">
        <v>457700</v>
      </c>
      <c r="U23" s="35">
        <v>51255221</v>
      </c>
      <c r="V23" s="34">
        <v>425096</v>
      </c>
      <c r="W23" s="24">
        <v>90346</v>
      </c>
      <c r="X23" s="24">
        <v>133015</v>
      </c>
      <c r="Y23" s="35">
        <v>9781145</v>
      </c>
      <c r="Z23" s="34"/>
      <c r="AA23" s="24"/>
      <c r="AB23" s="24"/>
      <c r="AC23" s="35"/>
      <c r="AD23" s="34">
        <v>5561565</v>
      </c>
      <c r="AE23" s="24">
        <v>1340888</v>
      </c>
      <c r="AF23" s="24">
        <v>1408258</v>
      </c>
      <c r="AG23" s="35">
        <v>125648000</v>
      </c>
      <c r="AH23" s="1"/>
    </row>
    <row r="24" spans="1:63" s="1" customFormat="1">
      <c r="A24" s="28" t="s">
        <v>50</v>
      </c>
      <c r="B24" s="38">
        <v>5337259</v>
      </c>
      <c r="C24" s="36">
        <v>1195960</v>
      </c>
      <c r="D24" s="36">
        <v>1231420</v>
      </c>
      <c r="E24" s="39">
        <v>173726480</v>
      </c>
      <c r="F24" s="38">
        <v>2700686</v>
      </c>
      <c r="G24" s="36">
        <v>319534</v>
      </c>
      <c r="H24" s="36">
        <v>425743</v>
      </c>
      <c r="I24" s="39">
        <v>54032228.729999997</v>
      </c>
      <c r="J24" s="38">
        <v>794891</v>
      </c>
      <c r="K24" s="36">
        <v>171609</v>
      </c>
      <c r="L24" s="36">
        <v>72516</v>
      </c>
      <c r="M24" s="39">
        <v>14981286.857000001</v>
      </c>
      <c r="N24" s="38">
        <v>309347</v>
      </c>
      <c r="O24" s="36">
        <v>78921</v>
      </c>
      <c r="P24" s="36">
        <v>50802</v>
      </c>
      <c r="Q24" s="39">
        <v>8799704</v>
      </c>
      <c r="R24" s="38">
        <v>2517880</v>
      </c>
      <c r="S24" s="36">
        <v>423759</v>
      </c>
      <c r="T24" s="36">
        <v>405335</v>
      </c>
      <c r="U24" s="39">
        <v>48135474</v>
      </c>
      <c r="V24" s="38">
        <v>370197</v>
      </c>
      <c r="W24" s="36">
        <v>91485</v>
      </c>
      <c r="X24" s="36">
        <v>80551</v>
      </c>
      <c r="Y24" s="39">
        <v>9154092</v>
      </c>
      <c r="Z24" s="38"/>
      <c r="AA24" s="36"/>
      <c r="AB24" s="36"/>
      <c r="AC24" s="39"/>
      <c r="AD24" s="38">
        <v>5207680</v>
      </c>
      <c r="AE24" s="36">
        <v>1174038</v>
      </c>
      <c r="AF24" s="36">
        <v>1238388</v>
      </c>
      <c r="AG24" s="39">
        <v>116718000</v>
      </c>
    </row>
    <row r="25" spans="1:63">
      <c r="A25" s="28" t="s">
        <v>51</v>
      </c>
      <c r="B25" s="34">
        <v>4726601</v>
      </c>
      <c r="C25" s="24">
        <v>927311</v>
      </c>
      <c r="D25" s="24">
        <v>961965</v>
      </c>
      <c r="E25" s="35">
        <v>147798798</v>
      </c>
      <c r="F25" s="34">
        <v>2540339</v>
      </c>
      <c r="G25" s="24">
        <v>304190</v>
      </c>
      <c r="H25" s="24">
        <v>365129</v>
      </c>
      <c r="I25" s="35">
        <v>51229836</v>
      </c>
      <c r="J25" s="34">
        <v>684827</v>
      </c>
      <c r="K25" s="24">
        <v>139609</v>
      </c>
      <c r="L25" s="24">
        <v>37811</v>
      </c>
      <c r="M25" s="35">
        <v>13041808</v>
      </c>
      <c r="N25" s="34">
        <v>289728</v>
      </c>
      <c r="O25" s="24">
        <v>52842</v>
      </c>
      <c r="P25" s="24">
        <v>31541</v>
      </c>
      <c r="Q25" s="35">
        <v>7419641</v>
      </c>
      <c r="R25" s="34">
        <v>2420468</v>
      </c>
      <c r="S25" s="24">
        <v>429830.6</v>
      </c>
      <c r="T25" s="24">
        <v>410193</v>
      </c>
      <c r="U25" s="35">
        <v>46104882</v>
      </c>
      <c r="V25" s="34">
        <v>329021</v>
      </c>
      <c r="W25" s="24">
        <v>60969</v>
      </c>
      <c r="X25" s="24">
        <v>41541</v>
      </c>
      <c r="Y25" s="35">
        <v>8139586</v>
      </c>
      <c r="Z25" s="34"/>
      <c r="AA25" s="24"/>
      <c r="AB25" s="24"/>
      <c r="AC25" s="35"/>
      <c r="AD25" s="34">
        <v>4828664</v>
      </c>
      <c r="AE25" s="24">
        <v>1005471</v>
      </c>
      <c r="AF25" s="24">
        <v>1104933</v>
      </c>
      <c r="AG25" s="35">
        <v>104663000</v>
      </c>
      <c r="AH25" s="1"/>
    </row>
    <row r="26" spans="1:63">
      <c r="A26" s="28" t="s">
        <v>52</v>
      </c>
      <c r="B26" s="34">
        <v>4535980</v>
      </c>
      <c r="C26" s="24">
        <v>899941</v>
      </c>
      <c r="D26" s="24">
        <v>945195</v>
      </c>
      <c r="E26" s="35">
        <v>139981115</v>
      </c>
      <c r="F26" s="34">
        <v>2631189</v>
      </c>
      <c r="G26" s="24">
        <v>432843</v>
      </c>
      <c r="H26" s="24">
        <v>442477</v>
      </c>
      <c r="I26" s="35">
        <v>51837670</v>
      </c>
      <c r="J26" s="34">
        <v>724704</v>
      </c>
      <c r="K26" s="24">
        <v>177885</v>
      </c>
      <c r="L26" s="24">
        <v>78064</v>
      </c>
      <c r="M26" s="35">
        <v>12833154</v>
      </c>
      <c r="N26" s="34">
        <v>283680.54908000003</v>
      </c>
      <c r="O26" s="24">
        <v>67290.742040000026</v>
      </c>
      <c r="P26" s="24">
        <v>46171.888900000034</v>
      </c>
      <c r="Q26" s="35">
        <v>7389528</v>
      </c>
      <c r="R26" s="34">
        <v>2453157</v>
      </c>
      <c r="S26" s="24">
        <v>443178.4</v>
      </c>
      <c r="T26" s="24">
        <v>413043</v>
      </c>
      <c r="U26" s="35">
        <v>47443967</v>
      </c>
      <c r="V26" s="34">
        <v>313072</v>
      </c>
      <c r="W26" s="24">
        <v>59283</v>
      </c>
      <c r="X26" s="24">
        <v>39530</v>
      </c>
      <c r="Y26" s="35">
        <v>7412349</v>
      </c>
      <c r="Z26" s="34"/>
      <c r="AA26" s="24"/>
      <c r="AB26" s="24"/>
      <c r="AC26" s="35"/>
      <c r="AD26" s="34">
        <v>4769888</v>
      </c>
      <c r="AE26" s="24">
        <v>970974</v>
      </c>
      <c r="AF26" s="24">
        <v>1114677</v>
      </c>
      <c r="AG26" s="35">
        <v>102875000</v>
      </c>
      <c r="AH26" s="1"/>
    </row>
    <row r="27" spans="1:63">
      <c r="A27" s="28" t="s">
        <v>82</v>
      </c>
      <c r="B27" s="34">
        <v>5130435</v>
      </c>
      <c r="C27" s="24">
        <v>1125325.3539100001</v>
      </c>
      <c r="D27" s="24">
        <v>1179341.3539100001</v>
      </c>
      <c r="E27" s="35">
        <v>168865289</v>
      </c>
      <c r="F27" s="34">
        <v>2636039</v>
      </c>
      <c r="G27" s="24">
        <v>437911</v>
      </c>
      <c r="H27" s="24">
        <v>454155</v>
      </c>
      <c r="I27" s="35">
        <v>51860180</v>
      </c>
      <c r="J27" s="34">
        <v>781074</v>
      </c>
      <c r="K27" s="24">
        <v>201876</v>
      </c>
      <c r="L27" s="24">
        <v>107957</v>
      </c>
      <c r="M27" s="35">
        <v>14379051</v>
      </c>
      <c r="N27" s="34">
        <v>313807.45091999997</v>
      </c>
      <c r="O27" s="24">
        <v>58667.257959999974</v>
      </c>
      <c r="P27" s="24">
        <v>38097.011099999967</v>
      </c>
      <c r="Q27" s="35">
        <v>8738262</v>
      </c>
      <c r="R27" s="34">
        <v>2524163</v>
      </c>
      <c r="S27" s="24">
        <v>457827</v>
      </c>
      <c r="T27" s="24">
        <v>449032</v>
      </c>
      <c r="U27" s="35">
        <v>48663934</v>
      </c>
      <c r="V27" s="34">
        <v>334902</v>
      </c>
      <c r="W27" s="24">
        <v>80851</v>
      </c>
      <c r="X27" s="24">
        <v>64126</v>
      </c>
      <c r="Y27" s="35">
        <v>7680180</v>
      </c>
      <c r="Z27" s="34"/>
      <c r="AA27" s="24"/>
      <c r="AB27" s="24"/>
      <c r="AC27" s="35"/>
      <c r="AD27" s="34">
        <v>5173880</v>
      </c>
      <c r="AE27" s="24">
        <v>1183297</v>
      </c>
      <c r="AF27" s="24">
        <v>1267075</v>
      </c>
      <c r="AG27" s="35">
        <v>117483000</v>
      </c>
      <c r="AH27" s="1"/>
    </row>
    <row r="28" spans="1:63">
      <c r="A28" s="28" t="s">
        <v>53</v>
      </c>
      <c r="B28" s="34">
        <v>5268747</v>
      </c>
      <c r="C28" s="24">
        <v>1116100.0495600002</v>
      </c>
      <c r="D28" s="24">
        <v>1172612.0495600002</v>
      </c>
      <c r="E28" s="35">
        <v>172747547</v>
      </c>
      <c r="F28" s="34">
        <v>2963043</v>
      </c>
      <c r="G28" s="24">
        <v>415812</v>
      </c>
      <c r="H28" s="24">
        <v>553021</v>
      </c>
      <c r="I28" s="35">
        <v>58509766</v>
      </c>
      <c r="J28" s="34">
        <v>795975</v>
      </c>
      <c r="K28" s="24">
        <v>188276</v>
      </c>
      <c r="L28" s="24">
        <v>96754</v>
      </c>
      <c r="M28" s="35">
        <v>16021795</v>
      </c>
      <c r="N28" s="34">
        <v>312919</v>
      </c>
      <c r="O28" s="24">
        <v>60871</v>
      </c>
      <c r="P28" s="24">
        <v>41009</v>
      </c>
      <c r="Q28" s="35">
        <v>8737208</v>
      </c>
      <c r="R28" s="34">
        <v>2490478</v>
      </c>
      <c r="S28" s="24">
        <v>449985</v>
      </c>
      <c r="T28" s="24">
        <v>419858</v>
      </c>
      <c r="U28" s="35">
        <v>48260499</v>
      </c>
      <c r="V28" s="34">
        <v>337282</v>
      </c>
      <c r="W28" s="24">
        <v>73251</v>
      </c>
      <c r="X28" s="24">
        <v>52236</v>
      </c>
      <c r="Y28" s="35">
        <v>8093725</v>
      </c>
      <c r="Z28" s="34"/>
      <c r="AA28" s="24"/>
      <c r="AB28" s="24"/>
      <c r="AC28" s="35"/>
      <c r="AD28" s="34">
        <v>5167999</v>
      </c>
      <c r="AE28" s="24">
        <v>1175109</v>
      </c>
      <c r="AF28" s="24">
        <v>1274769</v>
      </c>
      <c r="AG28" s="35">
        <v>115118000</v>
      </c>
      <c r="AH28" s="1"/>
    </row>
    <row r="29" spans="1:63">
      <c r="A29" s="28" t="s">
        <v>54</v>
      </c>
      <c r="B29" s="34">
        <v>5138245</v>
      </c>
      <c r="C29" s="24">
        <v>950664</v>
      </c>
      <c r="D29" s="24">
        <v>1024919</v>
      </c>
      <c r="E29" s="35">
        <v>163995165</v>
      </c>
      <c r="F29" s="34">
        <v>2793713</v>
      </c>
      <c r="G29" s="24">
        <v>354664</v>
      </c>
      <c r="H29" s="24">
        <v>407755</v>
      </c>
      <c r="I29" s="35">
        <v>53465004</v>
      </c>
      <c r="J29" s="34">
        <v>747782</v>
      </c>
      <c r="K29" s="24">
        <v>151243</v>
      </c>
      <c r="L29" s="24">
        <v>51019</v>
      </c>
      <c r="M29" s="35">
        <v>15763673</v>
      </c>
      <c r="N29" s="34">
        <v>319027</v>
      </c>
      <c r="O29" s="24">
        <v>58552</v>
      </c>
      <c r="P29" s="24">
        <v>40976</v>
      </c>
      <c r="Q29" s="35">
        <v>8633378</v>
      </c>
      <c r="R29" s="34">
        <v>2574787</v>
      </c>
      <c r="S29" s="24">
        <v>453749</v>
      </c>
      <c r="T29" s="24">
        <v>432289</v>
      </c>
      <c r="U29" s="35">
        <v>49596004</v>
      </c>
      <c r="V29" s="34">
        <v>360022</v>
      </c>
      <c r="W29" s="24">
        <v>82518</v>
      </c>
      <c r="X29" s="24">
        <v>63090</v>
      </c>
      <c r="Y29" s="35">
        <v>8778536</v>
      </c>
      <c r="Z29" s="34"/>
      <c r="AA29" s="24"/>
      <c r="AB29" s="24"/>
      <c r="AC29" s="35"/>
      <c r="AD29" s="34">
        <v>5131900</v>
      </c>
      <c r="AE29" s="24">
        <v>1071400</v>
      </c>
      <c r="AF29" s="24">
        <v>1196732</v>
      </c>
      <c r="AG29" s="35">
        <v>114079000</v>
      </c>
      <c r="AH29" s="1"/>
    </row>
    <row r="30" spans="1:63">
      <c r="A30" s="28" t="s">
        <v>55</v>
      </c>
      <c r="B30" s="34">
        <v>5188175</v>
      </c>
      <c r="C30" s="24">
        <v>1047247</v>
      </c>
      <c r="D30" s="24">
        <v>1140566</v>
      </c>
      <c r="E30" s="35">
        <v>161861462</v>
      </c>
      <c r="F30" s="34">
        <v>2859893</v>
      </c>
      <c r="G30" s="24">
        <v>502343</v>
      </c>
      <c r="H30" s="24">
        <v>546477</v>
      </c>
      <c r="I30" s="35">
        <v>52940000</v>
      </c>
      <c r="J30" s="34">
        <v>800734</v>
      </c>
      <c r="K30" s="24">
        <v>189575</v>
      </c>
      <c r="L30" s="24">
        <v>88483</v>
      </c>
      <c r="M30" s="35">
        <v>15258914</v>
      </c>
      <c r="N30" s="34">
        <v>340625.19140999997</v>
      </c>
      <c r="O30" s="24">
        <v>68535.734399999972</v>
      </c>
      <c r="P30" s="24">
        <v>50187.080069999953</v>
      </c>
      <c r="Q30" s="35">
        <v>9344949</v>
      </c>
      <c r="R30" s="34">
        <v>2636718</v>
      </c>
      <c r="S30" s="24">
        <v>519234</v>
      </c>
      <c r="T30" s="24">
        <v>490607</v>
      </c>
      <c r="U30" s="35">
        <v>50662071</v>
      </c>
      <c r="V30" s="34">
        <v>350937</v>
      </c>
      <c r="W30" s="24">
        <v>76818</v>
      </c>
      <c r="X30" s="24">
        <v>47123</v>
      </c>
      <c r="Y30" s="35">
        <v>8651555</v>
      </c>
      <c r="Z30" s="34"/>
      <c r="AA30" s="24"/>
      <c r="AB30" s="24"/>
      <c r="AC30" s="35"/>
      <c r="AD30" s="34">
        <v>5250107</v>
      </c>
      <c r="AE30" s="24">
        <v>1179054</v>
      </c>
      <c r="AF30" s="24">
        <v>1299437</v>
      </c>
      <c r="AG30" s="35">
        <v>114822000</v>
      </c>
      <c r="AH30" s="1"/>
    </row>
    <row r="31" spans="1:63">
      <c r="A31" s="28" t="s">
        <v>81</v>
      </c>
      <c r="B31" s="34">
        <v>5248418</v>
      </c>
      <c r="C31" s="24">
        <v>1137275</v>
      </c>
      <c r="D31" s="24">
        <v>1243505</v>
      </c>
      <c r="E31" s="35">
        <v>167627806</v>
      </c>
      <c r="F31" s="34">
        <v>2665494</v>
      </c>
      <c r="G31" s="24">
        <v>374366</v>
      </c>
      <c r="H31" s="24">
        <v>419315</v>
      </c>
      <c r="I31" s="35">
        <v>51540000</v>
      </c>
      <c r="J31" s="34">
        <v>818375</v>
      </c>
      <c r="K31" s="24">
        <v>167098</v>
      </c>
      <c r="L31" s="24">
        <v>66103</v>
      </c>
      <c r="M31" s="35">
        <v>15707628</v>
      </c>
      <c r="N31" s="34">
        <v>343296</v>
      </c>
      <c r="O31" s="24">
        <v>75949</v>
      </c>
      <c r="P31" s="24">
        <v>58134</v>
      </c>
      <c r="Q31" s="35">
        <v>9593165</v>
      </c>
      <c r="R31" s="34">
        <v>2670340</v>
      </c>
      <c r="S31" s="24">
        <v>500388</v>
      </c>
      <c r="T31" s="24">
        <v>516875</v>
      </c>
      <c r="U31" s="35">
        <v>51120897</v>
      </c>
      <c r="V31" s="34">
        <v>362715</v>
      </c>
      <c r="W31" s="24">
        <v>74558</v>
      </c>
      <c r="X31" s="24">
        <v>55709</v>
      </c>
      <c r="Y31" s="35">
        <v>8765246</v>
      </c>
      <c r="Z31" s="34"/>
      <c r="AA31" s="24"/>
      <c r="AB31" s="24"/>
      <c r="AC31" s="35"/>
      <c r="AD31" s="34">
        <v>5407735</v>
      </c>
      <c r="AE31" s="24">
        <v>1089851</v>
      </c>
      <c r="AF31" s="24">
        <v>1337158</v>
      </c>
      <c r="AG31" s="35">
        <v>118970000</v>
      </c>
      <c r="AH31" s="1"/>
    </row>
    <row r="32" spans="1:63">
      <c r="A32" s="28" t="s">
        <v>56</v>
      </c>
      <c r="B32" s="34">
        <v>5549887</v>
      </c>
      <c r="C32" s="24">
        <v>8468517</v>
      </c>
      <c r="D32" s="24">
        <v>8695177</v>
      </c>
      <c r="E32" s="35">
        <v>172464083.77200001</v>
      </c>
      <c r="F32" s="34">
        <v>2788204</v>
      </c>
      <c r="G32" s="24">
        <v>4046649</v>
      </c>
      <c r="H32" s="24">
        <v>4114478</v>
      </c>
      <c r="I32" s="35">
        <v>50410000</v>
      </c>
      <c r="J32" s="34">
        <v>818254</v>
      </c>
      <c r="K32" s="24">
        <v>1523417</v>
      </c>
      <c r="L32" s="24">
        <v>1431354</v>
      </c>
      <c r="M32" s="35">
        <v>15978413</v>
      </c>
      <c r="N32" s="34">
        <v>346839</v>
      </c>
      <c r="O32" s="24">
        <v>533535</v>
      </c>
      <c r="P32" s="24">
        <v>514965</v>
      </c>
      <c r="Q32" s="35">
        <v>9072872</v>
      </c>
      <c r="R32" s="34">
        <v>2669268</v>
      </c>
      <c r="S32" s="24">
        <v>3852584</v>
      </c>
      <c r="T32" s="24">
        <v>3851570</v>
      </c>
      <c r="U32" s="35">
        <v>50071997</v>
      </c>
      <c r="V32" s="34">
        <v>365794</v>
      </c>
      <c r="W32" s="24">
        <v>528760</v>
      </c>
      <c r="X32" s="24">
        <v>492529</v>
      </c>
      <c r="Y32" s="35">
        <v>9906231</v>
      </c>
      <c r="Z32" s="34"/>
      <c r="AA32" s="24"/>
      <c r="AB32" s="24"/>
      <c r="AC32" s="35"/>
      <c r="AD32" s="34">
        <v>5450222</v>
      </c>
      <c r="AE32" s="24">
        <v>6792367</v>
      </c>
      <c r="AF32" s="24">
        <v>7131511</v>
      </c>
      <c r="AG32" s="35">
        <v>118850000</v>
      </c>
      <c r="AH32" s="1"/>
    </row>
    <row r="33" spans="1:34">
      <c r="A33" s="28" t="s">
        <v>93</v>
      </c>
      <c r="B33" s="34">
        <v>5530893</v>
      </c>
      <c r="C33" s="24">
        <v>1261482</v>
      </c>
      <c r="D33" s="24">
        <v>1407973</v>
      </c>
      <c r="E33" s="35">
        <v>169421685</v>
      </c>
      <c r="F33" s="34">
        <v>2799313</v>
      </c>
      <c r="G33" s="24">
        <v>602227</v>
      </c>
      <c r="H33" s="24">
        <v>729593</v>
      </c>
      <c r="I33" s="35">
        <v>49002751</v>
      </c>
      <c r="J33" s="34">
        <v>794434</v>
      </c>
      <c r="K33" s="24">
        <v>153087</v>
      </c>
      <c r="L33" s="24">
        <v>56954</v>
      </c>
      <c r="M33" s="35">
        <v>15615479</v>
      </c>
      <c r="N33" s="34">
        <v>333585</v>
      </c>
      <c r="O33" s="24">
        <v>70686</v>
      </c>
      <c r="P33" s="24">
        <v>53145</v>
      </c>
      <c r="Q33" s="35">
        <v>8294565</v>
      </c>
      <c r="R33" s="34">
        <v>2717132</v>
      </c>
      <c r="S33" s="24">
        <v>557189</v>
      </c>
      <c r="T33" s="24">
        <v>559402</v>
      </c>
      <c r="U33" s="35">
        <v>49997239</v>
      </c>
      <c r="V33" s="34">
        <v>374324</v>
      </c>
      <c r="W33" s="24">
        <v>84260</v>
      </c>
      <c r="X33" s="24">
        <v>67561</v>
      </c>
      <c r="Y33" s="35">
        <v>9906231</v>
      </c>
      <c r="Z33" s="34"/>
      <c r="AA33" s="24"/>
      <c r="AB33" s="24"/>
      <c r="AC33" s="35"/>
      <c r="AD33" s="34">
        <v>5474764</v>
      </c>
      <c r="AE33" s="24">
        <v>1423665</v>
      </c>
      <c r="AF33" s="24">
        <v>1495394</v>
      </c>
      <c r="AG33" s="35">
        <v>117400000</v>
      </c>
      <c r="AH33" s="1"/>
    </row>
    <row r="34" spans="1:34">
      <c r="A34" s="28" t="s">
        <v>90</v>
      </c>
      <c r="B34" s="34">
        <v>5769990</v>
      </c>
      <c r="C34" s="24">
        <v>1422318</v>
      </c>
      <c r="D34" s="24">
        <v>1605592</v>
      </c>
      <c r="E34" s="35">
        <v>174869629</v>
      </c>
      <c r="F34" s="34">
        <v>3021868</v>
      </c>
      <c r="G34" s="24">
        <v>769022</v>
      </c>
      <c r="H34" s="24">
        <v>863569</v>
      </c>
      <c r="I34" s="35">
        <v>53083286</v>
      </c>
      <c r="J34" s="34">
        <v>898369</v>
      </c>
      <c r="K34" s="24">
        <v>255381</v>
      </c>
      <c r="L34" s="24">
        <v>159107</v>
      </c>
      <c r="M34" s="35">
        <v>16421432</v>
      </c>
      <c r="N34" s="34">
        <v>348685</v>
      </c>
      <c r="O34" s="24">
        <v>82483.131249999991</v>
      </c>
      <c r="P34" s="24">
        <v>65415.268559999953</v>
      </c>
      <c r="Q34" s="35">
        <v>8593680</v>
      </c>
      <c r="R34" s="34">
        <v>2897970</v>
      </c>
      <c r="S34" s="24">
        <v>678523</v>
      </c>
      <c r="T34" s="24">
        <v>697553</v>
      </c>
      <c r="U34" s="35">
        <v>53175670</v>
      </c>
      <c r="V34" s="34">
        <v>399772</v>
      </c>
      <c r="W34" s="24">
        <v>115566</v>
      </c>
      <c r="X34" s="24">
        <v>82724</v>
      </c>
      <c r="Y34" s="35">
        <v>10157046</v>
      </c>
      <c r="Z34" s="34"/>
      <c r="AA34" s="24"/>
      <c r="AB34" s="24"/>
      <c r="AC34" s="35"/>
      <c r="AD34" s="34">
        <v>5672635</v>
      </c>
      <c r="AE34" s="24">
        <v>1543876</v>
      </c>
      <c r="AF34" s="24">
        <v>1719183</v>
      </c>
      <c r="AG34" s="35">
        <v>117636000</v>
      </c>
      <c r="AH34" s="1"/>
    </row>
    <row r="35" spans="1:34">
      <c r="A35" s="28" t="s">
        <v>102</v>
      </c>
      <c r="B35" s="34">
        <v>6016665</v>
      </c>
      <c r="C35" s="24">
        <v>1509238</v>
      </c>
      <c r="D35" s="24">
        <v>1706167</v>
      </c>
      <c r="E35" s="35">
        <v>178982036</v>
      </c>
      <c r="F35" s="34">
        <v>3048801</v>
      </c>
      <c r="G35" s="24">
        <v>775491</v>
      </c>
      <c r="H35" s="24">
        <v>888149</v>
      </c>
      <c r="I35" s="35">
        <v>52361702</v>
      </c>
      <c r="J35" s="34">
        <v>928567</v>
      </c>
      <c r="K35" s="24">
        <v>246274</v>
      </c>
      <c r="L35" s="24">
        <v>144649</v>
      </c>
      <c r="M35" s="35">
        <v>17126932</v>
      </c>
      <c r="N35" s="34">
        <v>369640</v>
      </c>
      <c r="O35" s="24">
        <v>102401</v>
      </c>
      <c r="P35" s="24">
        <v>83359.508260000002</v>
      </c>
      <c r="Q35" s="35">
        <v>8830645</v>
      </c>
      <c r="R35" s="34">
        <v>2947376</v>
      </c>
      <c r="S35" s="24">
        <v>692250</v>
      </c>
      <c r="T35" s="24">
        <v>712784</v>
      </c>
      <c r="U35" s="35">
        <v>53316490</v>
      </c>
      <c r="V35" s="34">
        <v>413645</v>
      </c>
      <c r="W35" s="24">
        <v>116056</v>
      </c>
      <c r="X35" s="24">
        <v>96421</v>
      </c>
      <c r="Y35" s="35">
        <v>9149028</v>
      </c>
      <c r="Z35" s="34"/>
      <c r="AA35" s="24"/>
      <c r="AB35" s="24"/>
      <c r="AC35" s="35"/>
      <c r="AD35" s="34">
        <v>5927816</v>
      </c>
      <c r="AE35" s="24">
        <v>1659021</v>
      </c>
      <c r="AF35" s="24">
        <v>1862341</v>
      </c>
      <c r="AG35" s="35">
        <v>123313000</v>
      </c>
      <c r="AH35" s="1"/>
    </row>
    <row r="36" spans="1:34">
      <c r="A36" s="28" t="s">
        <v>91</v>
      </c>
      <c r="B36" s="34">
        <v>6095599</v>
      </c>
      <c r="C36" s="24">
        <v>1505731</v>
      </c>
      <c r="D36" s="24">
        <v>1722602</v>
      </c>
      <c r="E36" s="35">
        <v>178537319</v>
      </c>
      <c r="F36" s="34">
        <v>3063578</v>
      </c>
      <c r="G36" s="24">
        <v>792720</v>
      </c>
      <c r="H36" s="24">
        <v>873439</v>
      </c>
      <c r="I36" s="35">
        <v>51265370</v>
      </c>
      <c r="J36" s="34">
        <v>911355</v>
      </c>
      <c r="K36" s="24">
        <v>163531</v>
      </c>
      <c r="L36" s="24">
        <v>74630</v>
      </c>
      <c r="M36" s="35">
        <v>17534975</v>
      </c>
      <c r="N36" s="34">
        <v>362695</v>
      </c>
      <c r="O36" s="24">
        <v>107628</v>
      </c>
      <c r="P36" s="24">
        <v>84299</v>
      </c>
      <c r="Q36" s="35">
        <v>8633931</v>
      </c>
      <c r="R36" s="34">
        <v>2895235</v>
      </c>
      <c r="S36" s="24">
        <v>622840</v>
      </c>
      <c r="T36" s="24">
        <v>802929</v>
      </c>
      <c r="U36" s="35">
        <v>50880032</v>
      </c>
      <c r="V36" s="34">
        <v>406888</v>
      </c>
      <c r="W36" s="24">
        <v>132149</v>
      </c>
      <c r="X36" s="24">
        <v>132226</v>
      </c>
      <c r="Y36" s="35">
        <v>10183337</v>
      </c>
      <c r="Z36" s="34"/>
      <c r="AA36" s="24"/>
      <c r="AB36" s="24"/>
      <c r="AC36" s="35"/>
      <c r="AD36" s="34">
        <v>5756204</v>
      </c>
      <c r="AE36" s="24">
        <v>1641684</v>
      </c>
      <c r="AF36" s="24">
        <v>1797684</v>
      </c>
      <c r="AG36" s="35">
        <v>115608000</v>
      </c>
      <c r="AH36" s="1"/>
    </row>
    <row r="37" spans="1:34">
      <c r="A37" s="28" t="s">
        <v>92</v>
      </c>
      <c r="B37" s="34">
        <v>5660473</v>
      </c>
      <c r="C37" s="24">
        <v>1230248</v>
      </c>
      <c r="D37" s="24">
        <v>1595436</v>
      </c>
      <c r="E37" s="35">
        <v>157687019</v>
      </c>
      <c r="F37" s="34">
        <v>2933220</v>
      </c>
      <c r="G37" s="24">
        <v>706794</v>
      </c>
      <c r="H37" s="24">
        <v>804670</v>
      </c>
      <c r="I37" s="35">
        <v>50436745</v>
      </c>
      <c r="J37" s="34">
        <v>844698</v>
      </c>
      <c r="K37" s="24">
        <v>149534</v>
      </c>
      <c r="L37" s="24">
        <v>41751</v>
      </c>
      <c r="M37" s="35">
        <v>15741816</v>
      </c>
      <c r="N37" s="34">
        <v>362627</v>
      </c>
      <c r="O37" s="24">
        <v>42337</v>
      </c>
      <c r="P37" s="24">
        <v>20599</v>
      </c>
      <c r="Q37" s="35">
        <v>8664117</v>
      </c>
      <c r="R37" s="34">
        <v>2839774</v>
      </c>
      <c r="S37" s="24">
        <v>610590</v>
      </c>
      <c r="T37" s="24">
        <v>658856</v>
      </c>
      <c r="U37" s="35">
        <v>49275797</v>
      </c>
      <c r="V37" s="34">
        <v>364014</v>
      </c>
      <c r="W37" s="24">
        <v>70919</v>
      </c>
      <c r="X37" s="24">
        <v>55578</v>
      </c>
      <c r="Y37" s="35">
        <v>8535613</v>
      </c>
      <c r="Z37" s="34"/>
      <c r="AA37" s="24"/>
      <c r="AB37" s="24"/>
      <c r="AC37" s="35"/>
      <c r="AD37" s="34">
        <v>5384210</v>
      </c>
      <c r="AE37" s="24">
        <v>1478739.473</v>
      </c>
      <c r="AF37" s="24">
        <v>1533738</v>
      </c>
      <c r="AG37" s="35">
        <v>106650000</v>
      </c>
      <c r="AH37" s="1"/>
    </row>
    <row r="38" spans="1:34">
      <c r="A38" s="28" t="s">
        <v>104</v>
      </c>
      <c r="B38" s="34">
        <v>5793725</v>
      </c>
      <c r="C38" s="24">
        <v>1430044</v>
      </c>
      <c r="D38" s="24">
        <v>1701906</v>
      </c>
      <c r="E38" s="35">
        <v>170938048</v>
      </c>
      <c r="F38" s="34">
        <v>2975783</v>
      </c>
      <c r="G38" s="24">
        <v>733565</v>
      </c>
      <c r="H38" s="24">
        <v>894450</v>
      </c>
      <c r="I38" s="35">
        <v>51165071</v>
      </c>
      <c r="J38" s="34">
        <v>923281</v>
      </c>
      <c r="K38" s="24">
        <v>276306</v>
      </c>
      <c r="L38" s="24">
        <v>167528</v>
      </c>
      <c r="M38" s="35">
        <v>17087536</v>
      </c>
      <c r="N38" s="34">
        <v>361582</v>
      </c>
      <c r="O38" s="24">
        <v>61565</v>
      </c>
      <c r="P38" s="24">
        <v>39895.9</v>
      </c>
      <c r="Q38" s="35">
        <v>8472805</v>
      </c>
      <c r="R38" s="34">
        <v>2924822</v>
      </c>
      <c r="S38" s="24">
        <v>736150</v>
      </c>
      <c r="T38" s="24">
        <v>766422.10199999996</v>
      </c>
      <c r="U38" s="35">
        <v>51266509</v>
      </c>
      <c r="V38" s="34">
        <v>397044</v>
      </c>
      <c r="W38" s="24">
        <v>102700</v>
      </c>
      <c r="X38" s="24">
        <v>89563</v>
      </c>
      <c r="Y38" s="35">
        <v>9255622</v>
      </c>
      <c r="Z38" s="34"/>
      <c r="AA38" s="24"/>
      <c r="AB38" s="24"/>
      <c r="AC38" s="35"/>
      <c r="AD38" s="34">
        <v>5595939</v>
      </c>
      <c r="AE38" s="24">
        <v>1682281.3340000003</v>
      </c>
      <c r="AF38" s="24">
        <v>1723199.0000000002</v>
      </c>
      <c r="AG38" s="35">
        <v>108744000</v>
      </c>
      <c r="AH38" s="1"/>
    </row>
    <row r="39" spans="1:34">
      <c r="A39" s="28" t="s">
        <v>105</v>
      </c>
      <c r="B39" s="34">
        <v>5923117</v>
      </c>
      <c r="C39" s="24">
        <v>1557970</v>
      </c>
      <c r="D39" s="24">
        <v>1822245</v>
      </c>
      <c r="E39" s="35">
        <v>171329446</v>
      </c>
      <c r="F39" s="34">
        <v>2896970</v>
      </c>
      <c r="G39" s="24">
        <v>722855</v>
      </c>
      <c r="H39" s="24">
        <v>847438</v>
      </c>
      <c r="I39" s="35">
        <v>50148620</v>
      </c>
      <c r="J39" s="34">
        <v>903594</v>
      </c>
      <c r="K39" s="24">
        <v>231148</v>
      </c>
      <c r="L39" s="24">
        <v>138270</v>
      </c>
      <c r="M39" s="35">
        <v>15615824</v>
      </c>
      <c r="N39" s="34">
        <v>382981</v>
      </c>
      <c r="O39" s="24">
        <v>98423</v>
      </c>
      <c r="P39" s="24">
        <v>77039</v>
      </c>
      <c r="Q39" s="35">
        <v>9358826</v>
      </c>
      <c r="R39" s="34">
        <v>2841281</v>
      </c>
      <c r="S39" s="24">
        <v>663026</v>
      </c>
      <c r="T39" s="24">
        <v>674740.89800000004</v>
      </c>
      <c r="U39" s="35">
        <v>48096711</v>
      </c>
      <c r="V39" s="34">
        <v>421237</v>
      </c>
      <c r="W39" s="24">
        <v>130435</v>
      </c>
      <c r="X39" s="24">
        <v>117208</v>
      </c>
      <c r="Y39" s="35">
        <v>9978574</v>
      </c>
      <c r="Z39" s="34"/>
      <c r="AA39" s="24"/>
      <c r="AB39" s="24"/>
      <c r="AC39" s="35"/>
      <c r="AD39" s="34">
        <v>5515970</v>
      </c>
      <c r="AE39" s="24">
        <v>1655892</v>
      </c>
      <c r="AF39" s="24">
        <v>1730938</v>
      </c>
      <c r="AG39" s="35">
        <v>108107000</v>
      </c>
      <c r="AH39" s="1"/>
    </row>
    <row r="40" spans="1:34">
      <c r="A40" s="28" t="s">
        <v>106</v>
      </c>
      <c r="B40" s="34">
        <v>5755548</v>
      </c>
      <c r="C40" s="24">
        <v>1538317</v>
      </c>
      <c r="D40" s="24">
        <v>1792891</v>
      </c>
      <c r="E40" s="35">
        <v>165078667</v>
      </c>
      <c r="F40" s="34">
        <v>2806501</v>
      </c>
      <c r="G40" s="24">
        <v>674643</v>
      </c>
      <c r="H40" s="24">
        <v>767104</v>
      </c>
      <c r="I40" s="35">
        <v>49309820</v>
      </c>
      <c r="J40" s="34">
        <v>812760</v>
      </c>
      <c r="K40" s="24">
        <v>192119</v>
      </c>
      <c r="L40" s="24">
        <v>81845</v>
      </c>
      <c r="M40" s="35">
        <v>14161719</v>
      </c>
      <c r="N40" s="34">
        <v>377631</v>
      </c>
      <c r="O40" s="24">
        <v>80793</v>
      </c>
      <c r="P40" s="24">
        <v>59072</v>
      </c>
      <c r="Q40" s="35">
        <v>9090016</v>
      </c>
      <c r="R40" s="34">
        <v>2690187</v>
      </c>
      <c r="S40" s="24">
        <v>678565.28899999987</v>
      </c>
      <c r="T40" s="24">
        <v>717718.28899999987</v>
      </c>
      <c r="U40" s="35">
        <v>45405908</v>
      </c>
      <c r="V40" s="34">
        <v>399339</v>
      </c>
      <c r="W40" s="24">
        <v>102054</v>
      </c>
      <c r="X40" s="24">
        <v>87230</v>
      </c>
      <c r="Y40" s="35">
        <v>9773791</v>
      </c>
      <c r="Z40" s="34"/>
      <c r="AA40" s="24"/>
      <c r="AB40" s="24"/>
      <c r="AC40" s="35"/>
      <c r="AD40" s="34">
        <v>5211679</v>
      </c>
      <c r="AE40" s="24">
        <v>1509228.193</v>
      </c>
      <c r="AF40" s="24">
        <v>1586082</v>
      </c>
      <c r="AG40" s="35">
        <v>99932000</v>
      </c>
      <c r="AH40" s="1"/>
    </row>
    <row r="41" spans="1:34">
      <c r="A41" s="28" t="s">
        <v>103</v>
      </c>
      <c r="B41" s="34">
        <v>5337434</v>
      </c>
      <c r="C41" s="24">
        <v>1315049</v>
      </c>
      <c r="D41" s="24">
        <v>1512877</v>
      </c>
      <c r="E41" s="35">
        <v>152685720</v>
      </c>
      <c r="F41" s="34">
        <v>2780803</v>
      </c>
      <c r="G41" s="24">
        <v>708990</v>
      </c>
      <c r="H41" s="24">
        <v>788810</v>
      </c>
      <c r="I41" s="35">
        <v>48895160</v>
      </c>
      <c r="J41" s="34">
        <v>808162</v>
      </c>
      <c r="K41" s="24">
        <v>270771</v>
      </c>
      <c r="L41" s="24">
        <v>172560</v>
      </c>
      <c r="M41" s="35">
        <v>14924154</v>
      </c>
      <c r="N41" s="34">
        <v>377935</v>
      </c>
      <c r="O41" s="24">
        <v>104892</v>
      </c>
      <c r="P41" s="24">
        <v>85344</v>
      </c>
      <c r="Q41" s="35">
        <v>8663421</v>
      </c>
      <c r="R41" s="34">
        <v>2625383</v>
      </c>
      <c r="S41" s="24">
        <v>371503</v>
      </c>
      <c r="T41" s="24">
        <v>392453</v>
      </c>
      <c r="U41" s="35">
        <v>43795663</v>
      </c>
      <c r="V41" s="34">
        <v>408183</v>
      </c>
      <c r="W41" s="24">
        <v>120882</v>
      </c>
      <c r="X41" s="24">
        <v>109479</v>
      </c>
      <c r="Y41" s="35">
        <v>10184855</v>
      </c>
      <c r="Z41" s="34"/>
      <c r="AA41" s="24"/>
      <c r="AB41" s="24"/>
      <c r="AC41" s="35"/>
      <c r="AD41" s="34">
        <v>5228650</v>
      </c>
      <c r="AE41" s="24">
        <v>1603198</v>
      </c>
      <c r="AF41" s="24">
        <v>1641168</v>
      </c>
      <c r="AG41" s="35">
        <v>99683000</v>
      </c>
      <c r="AH41" s="1"/>
    </row>
    <row r="42" spans="1:34">
      <c r="A42" s="28" t="s">
        <v>107</v>
      </c>
      <c r="B42" s="34">
        <v>4539342</v>
      </c>
      <c r="C42" s="24">
        <v>1265715</v>
      </c>
      <c r="D42" s="24">
        <v>1387787</v>
      </c>
      <c r="E42" s="35">
        <v>130174693</v>
      </c>
      <c r="F42" s="34">
        <v>2189043</v>
      </c>
      <c r="G42" s="24">
        <v>453413</v>
      </c>
      <c r="H42" s="24">
        <v>549449</v>
      </c>
      <c r="I42" s="35">
        <v>40149711</v>
      </c>
      <c r="J42" s="34">
        <v>654872</v>
      </c>
      <c r="K42" s="24">
        <v>123170</v>
      </c>
      <c r="L42" s="24">
        <v>21051</v>
      </c>
      <c r="M42" s="35">
        <v>10674850</v>
      </c>
      <c r="N42" s="34">
        <v>301725</v>
      </c>
      <c r="O42" s="24">
        <v>74283</v>
      </c>
      <c r="P42" s="24">
        <v>52828.899999999994</v>
      </c>
      <c r="Q42" s="35">
        <v>7019860</v>
      </c>
      <c r="R42" s="34">
        <v>2084391</v>
      </c>
      <c r="S42" s="24">
        <v>420950</v>
      </c>
      <c r="T42" s="24">
        <v>369073</v>
      </c>
      <c r="U42" s="35">
        <v>36254994</v>
      </c>
      <c r="V42" s="34">
        <v>284535</v>
      </c>
      <c r="W42" s="24">
        <v>54188</v>
      </c>
      <c r="X42" s="24">
        <v>41309</v>
      </c>
      <c r="Y42" s="35">
        <v>6886488</v>
      </c>
      <c r="Z42" s="34"/>
      <c r="AA42" s="24"/>
      <c r="AB42" s="24"/>
      <c r="AC42" s="35"/>
      <c r="AD42" s="34">
        <v>4244300</v>
      </c>
      <c r="AE42" s="24">
        <v>1204472.5923199998</v>
      </c>
      <c r="AF42" s="24">
        <v>1334891</v>
      </c>
      <c r="AG42" s="35">
        <v>85914000</v>
      </c>
      <c r="AH42" s="1"/>
    </row>
    <row r="43" spans="1:34">
      <c r="A43" s="28" t="s">
        <v>108</v>
      </c>
      <c r="B43" s="34">
        <v>5095731</v>
      </c>
      <c r="C43" s="24">
        <v>1468273</v>
      </c>
      <c r="D43" s="24">
        <v>1606935</v>
      </c>
      <c r="E43" s="35">
        <v>146549408</v>
      </c>
      <c r="F43" s="34">
        <v>2577808</v>
      </c>
      <c r="G43" s="24">
        <v>717449</v>
      </c>
      <c r="H43" s="24">
        <v>762139</v>
      </c>
      <c r="I43" s="35">
        <v>45743633</v>
      </c>
      <c r="J43" s="34">
        <v>777663</v>
      </c>
      <c r="K43" s="24">
        <v>215265</v>
      </c>
      <c r="L43" s="24">
        <v>115966</v>
      </c>
      <c r="M43" s="35">
        <v>12981401</v>
      </c>
      <c r="N43" s="34">
        <v>338935</v>
      </c>
      <c r="O43" s="24">
        <v>96176</v>
      </c>
      <c r="P43" s="24">
        <v>74063</v>
      </c>
      <c r="Q43" s="35">
        <v>8182246</v>
      </c>
      <c r="R43" s="34">
        <v>2506294</v>
      </c>
      <c r="S43" s="24">
        <v>583463</v>
      </c>
      <c r="T43" s="24">
        <v>511617</v>
      </c>
      <c r="U43" s="35">
        <v>41346080</v>
      </c>
      <c r="V43" s="34">
        <v>338287</v>
      </c>
      <c r="W43" s="24">
        <v>95053</v>
      </c>
      <c r="X43" s="24">
        <v>80179</v>
      </c>
      <c r="Y43" s="35">
        <v>7839759</v>
      </c>
      <c r="Z43" s="34"/>
      <c r="AA43" s="24"/>
      <c r="AB43" s="24"/>
      <c r="AC43" s="35"/>
      <c r="AD43" s="34">
        <v>4918719</v>
      </c>
      <c r="AE43" s="24">
        <v>1504067</v>
      </c>
      <c r="AF43" s="24">
        <v>1576138</v>
      </c>
      <c r="AG43" s="35">
        <v>97913000</v>
      </c>
      <c r="AH43" s="1"/>
    </row>
    <row r="44" spans="1:34">
      <c r="A44" s="28" t="s">
        <v>109</v>
      </c>
      <c r="B44" s="34">
        <v>5584014</v>
      </c>
      <c r="C44" s="24">
        <v>1631377</v>
      </c>
      <c r="D44" s="24">
        <v>1755147</v>
      </c>
      <c r="E44" s="35">
        <v>159509584</v>
      </c>
      <c r="F44" s="34">
        <v>2753378</v>
      </c>
      <c r="G44" s="24">
        <v>732783</v>
      </c>
      <c r="H44" s="24">
        <v>770693</v>
      </c>
      <c r="I44" s="35">
        <v>49026255</v>
      </c>
      <c r="J44" s="34">
        <v>850607</v>
      </c>
      <c r="K44" s="24">
        <v>238652</v>
      </c>
      <c r="L44" s="24">
        <v>136868</v>
      </c>
      <c r="M44" s="35">
        <v>15584260</v>
      </c>
      <c r="N44" s="34">
        <v>362416</v>
      </c>
      <c r="O44" s="24">
        <v>94832</v>
      </c>
      <c r="P44" s="24">
        <v>74053</v>
      </c>
      <c r="Q44" s="35">
        <v>8888607</v>
      </c>
      <c r="R44" s="34">
        <v>2573273</v>
      </c>
      <c r="S44" s="24">
        <v>682678.71199999982</v>
      </c>
      <c r="T44" s="24">
        <v>623590.71200000006</v>
      </c>
      <c r="U44" s="35">
        <v>42659365</v>
      </c>
      <c r="V44" s="34">
        <v>365545</v>
      </c>
      <c r="W44" s="24">
        <v>120637</v>
      </c>
      <c r="X44" s="24">
        <v>108591</v>
      </c>
      <c r="Y44" s="35">
        <v>8386021</v>
      </c>
      <c r="Z44" s="34"/>
      <c r="AA44" s="24"/>
      <c r="AB44" s="24"/>
      <c r="AC44" s="35"/>
      <c r="AD44" s="34">
        <v>5141811</v>
      </c>
      <c r="AE44" s="24">
        <v>1501765</v>
      </c>
      <c r="AF44" s="24">
        <v>1594531</v>
      </c>
      <c r="AG44" s="35">
        <v>101466000</v>
      </c>
      <c r="AH44" s="1"/>
    </row>
    <row r="45" spans="1:34">
      <c r="A45" s="28" t="s">
        <v>110</v>
      </c>
      <c r="B45" s="34">
        <v>5319955</v>
      </c>
      <c r="C45" s="24">
        <v>1376594</v>
      </c>
      <c r="D45" s="24">
        <v>1513127</v>
      </c>
      <c r="E45" s="35">
        <v>148857114</v>
      </c>
      <c r="F45" s="34">
        <v>2741129</v>
      </c>
      <c r="G45" s="24">
        <v>680401</v>
      </c>
      <c r="H45" s="24">
        <v>726181</v>
      </c>
      <c r="I45" s="35">
        <v>48264671</v>
      </c>
      <c r="J45" s="34">
        <v>811203</v>
      </c>
      <c r="K45" s="24">
        <v>158928</v>
      </c>
      <c r="L45" s="24">
        <v>60073</v>
      </c>
      <c r="M45" s="35">
        <v>15302373</v>
      </c>
      <c r="N45" s="34">
        <v>365783</v>
      </c>
      <c r="O45" s="24">
        <v>97901</v>
      </c>
      <c r="P45" s="24">
        <v>76457</v>
      </c>
      <c r="Q45" s="35">
        <v>8704451</v>
      </c>
      <c r="R45" s="34">
        <v>2638799</v>
      </c>
      <c r="S45" s="24">
        <v>710439</v>
      </c>
      <c r="T45" s="24">
        <v>643260</v>
      </c>
      <c r="U45" s="35">
        <v>43406177</v>
      </c>
      <c r="V45" s="34">
        <v>374741</v>
      </c>
      <c r="W45" s="24">
        <v>99717</v>
      </c>
      <c r="X45" s="24">
        <v>127376</v>
      </c>
      <c r="Y45" s="35">
        <v>9014535</v>
      </c>
      <c r="Z45" s="34"/>
      <c r="AA45" s="24"/>
      <c r="AB45" s="24"/>
      <c r="AC45" s="35"/>
      <c r="AD45" s="34">
        <v>5000902</v>
      </c>
      <c r="AE45" s="24">
        <v>1460670</v>
      </c>
      <c r="AF45" s="24">
        <v>1532973</v>
      </c>
      <c r="AG45" s="35">
        <v>97364000</v>
      </c>
      <c r="AH45" s="1"/>
    </row>
    <row r="46" spans="1:34">
      <c r="A46" s="28" t="s">
        <v>111</v>
      </c>
      <c r="B46" s="34">
        <v>5715861</v>
      </c>
      <c r="C46" s="24">
        <v>1647034</v>
      </c>
      <c r="D46" s="24">
        <v>1779048</v>
      </c>
      <c r="E46" s="35">
        <v>158608084.88699999</v>
      </c>
      <c r="F46" s="34">
        <v>2912162</v>
      </c>
      <c r="G46" s="24">
        <v>775326</v>
      </c>
      <c r="H46" s="24">
        <v>1230916</v>
      </c>
      <c r="I46" s="35">
        <v>49017357</v>
      </c>
      <c r="J46" s="34">
        <v>867496</v>
      </c>
      <c r="K46" s="24">
        <v>212648</v>
      </c>
      <c r="L46" s="24">
        <v>117165</v>
      </c>
      <c r="M46" s="35">
        <v>14665329</v>
      </c>
      <c r="N46" s="34">
        <v>381838</v>
      </c>
      <c r="O46" s="24">
        <v>99775</v>
      </c>
      <c r="P46" s="24">
        <v>78274</v>
      </c>
      <c r="Q46" s="35">
        <v>8905834</v>
      </c>
      <c r="R46" s="34">
        <v>2799387</v>
      </c>
      <c r="S46" s="24">
        <v>800560</v>
      </c>
      <c r="T46" s="24">
        <v>785632</v>
      </c>
      <c r="U46" s="35">
        <v>45679293</v>
      </c>
      <c r="V46" s="34">
        <v>400996</v>
      </c>
      <c r="W46" s="24">
        <v>124453</v>
      </c>
      <c r="X46" s="24">
        <v>121891</v>
      </c>
      <c r="Y46" s="35">
        <v>8619510</v>
      </c>
      <c r="Z46" s="34"/>
      <c r="AA46" s="24"/>
      <c r="AB46" s="24"/>
      <c r="AC46" s="35"/>
      <c r="AD46" s="34">
        <v>5503684</v>
      </c>
      <c r="AE46" s="24">
        <v>1825513</v>
      </c>
      <c r="AF46" s="24">
        <v>1965043</v>
      </c>
      <c r="AG46" s="35">
        <v>104755000</v>
      </c>
      <c r="AH46" s="1"/>
    </row>
    <row r="47" spans="1:34">
      <c r="A47" s="28" t="s">
        <v>112</v>
      </c>
      <c r="B47" s="34">
        <v>5686717</v>
      </c>
      <c r="C47" s="24">
        <v>1571344</v>
      </c>
      <c r="D47" s="24">
        <v>1812189</v>
      </c>
      <c r="E47" s="35">
        <v>150962510</v>
      </c>
      <c r="F47" s="34">
        <v>3007657</v>
      </c>
      <c r="G47" s="24">
        <v>868277</v>
      </c>
      <c r="H47" s="24">
        <v>975221</v>
      </c>
      <c r="I47" s="35">
        <v>48437414</v>
      </c>
      <c r="J47" s="34">
        <v>897889</v>
      </c>
      <c r="K47" s="24">
        <v>271806</v>
      </c>
      <c r="L47" s="24">
        <v>176682</v>
      </c>
      <c r="M47" s="35">
        <v>13776092</v>
      </c>
      <c r="N47" s="34">
        <v>406425</v>
      </c>
      <c r="O47" s="24">
        <v>105923</v>
      </c>
      <c r="P47" s="24">
        <v>84020</v>
      </c>
      <c r="Q47" s="35">
        <v>9283666</v>
      </c>
      <c r="R47" s="34">
        <v>2852292</v>
      </c>
      <c r="S47" s="24">
        <v>785247</v>
      </c>
      <c r="T47" s="24">
        <v>715357</v>
      </c>
      <c r="U47" s="35">
        <v>45063217</v>
      </c>
      <c r="V47" s="34">
        <v>380598</v>
      </c>
      <c r="W47" s="24">
        <v>93065</v>
      </c>
      <c r="X47" s="24">
        <v>84989</v>
      </c>
      <c r="Y47" s="35">
        <v>8590414</v>
      </c>
      <c r="Z47" s="34"/>
      <c r="AA47" s="24"/>
      <c r="AB47" s="24"/>
      <c r="AC47" s="35"/>
      <c r="AD47" s="34">
        <v>5566606</v>
      </c>
      <c r="AE47" s="24">
        <v>1778715</v>
      </c>
      <c r="AF47" s="24">
        <v>1875205</v>
      </c>
      <c r="AG47" s="35">
        <v>104314000</v>
      </c>
      <c r="AH47" s="1"/>
    </row>
    <row r="48" spans="1:34">
      <c r="A48" s="28" t="s">
        <v>113</v>
      </c>
      <c r="B48" s="34">
        <v>6190662</v>
      </c>
      <c r="C48" s="24">
        <v>1834691</v>
      </c>
      <c r="D48" s="24">
        <v>1973599</v>
      </c>
      <c r="E48" s="35">
        <v>163022826</v>
      </c>
      <c r="F48" s="34">
        <v>3137866</v>
      </c>
      <c r="G48" s="24">
        <v>893135</v>
      </c>
      <c r="H48" s="24">
        <v>968366</v>
      </c>
      <c r="I48" s="35">
        <v>48603297</v>
      </c>
      <c r="J48" s="34">
        <v>949227</v>
      </c>
      <c r="K48" s="24">
        <v>280167</v>
      </c>
      <c r="L48" s="24">
        <v>203076</v>
      </c>
      <c r="M48" s="35">
        <v>15284934</v>
      </c>
      <c r="N48" s="34">
        <v>418041</v>
      </c>
      <c r="O48" s="24">
        <v>84980</v>
      </c>
      <c r="P48" s="24">
        <v>63745</v>
      </c>
      <c r="Q48" s="35">
        <v>8541912</v>
      </c>
      <c r="R48" s="34">
        <v>2851172</v>
      </c>
      <c r="S48" s="24">
        <v>789636</v>
      </c>
      <c r="T48" s="24">
        <v>729919</v>
      </c>
      <c r="U48" s="35">
        <v>43936382</v>
      </c>
      <c r="V48" s="34">
        <v>419284</v>
      </c>
      <c r="W48" s="24">
        <v>158813</v>
      </c>
      <c r="X48" s="24">
        <v>131489</v>
      </c>
      <c r="Y48" s="35">
        <v>9018189</v>
      </c>
      <c r="Z48" s="34"/>
      <c r="AA48" s="24"/>
      <c r="AB48" s="24"/>
      <c r="AC48" s="35"/>
      <c r="AD48" s="34">
        <v>5733125</v>
      </c>
      <c r="AE48" s="24">
        <v>1824251</v>
      </c>
      <c r="AF48" s="24">
        <v>1940707</v>
      </c>
      <c r="AG48" s="35">
        <v>104840000</v>
      </c>
      <c r="AH48" s="1"/>
    </row>
    <row r="49" spans="1:34">
      <c r="A49" s="28" t="s">
        <v>114</v>
      </c>
      <c r="B49" s="34">
        <v>5874165</v>
      </c>
      <c r="C49" s="24">
        <v>1495518</v>
      </c>
      <c r="D49" s="24">
        <v>1640729</v>
      </c>
      <c r="E49" s="35">
        <v>152347881</v>
      </c>
      <c r="F49" s="34">
        <v>3104511</v>
      </c>
      <c r="G49" s="24">
        <v>783600</v>
      </c>
      <c r="H49" s="24">
        <v>883698</v>
      </c>
      <c r="I49" s="35">
        <v>47288372</v>
      </c>
      <c r="J49" s="34">
        <v>943814</v>
      </c>
      <c r="K49" s="24">
        <v>143509</v>
      </c>
      <c r="L49" s="24">
        <v>-37097</v>
      </c>
      <c r="M49" s="35">
        <v>15753313</v>
      </c>
      <c r="N49" s="34">
        <v>423197</v>
      </c>
      <c r="O49" s="24">
        <v>104399</v>
      </c>
      <c r="P49" s="24">
        <v>82775</v>
      </c>
      <c r="Q49" s="35">
        <v>8982786</v>
      </c>
      <c r="R49" s="34">
        <v>2915142</v>
      </c>
      <c r="S49" s="24">
        <v>741616</v>
      </c>
      <c r="T49" s="24">
        <v>723114</v>
      </c>
      <c r="U49" s="35">
        <v>43660647</v>
      </c>
      <c r="V49" s="34">
        <v>408009</v>
      </c>
      <c r="W49" s="24">
        <v>102196</v>
      </c>
      <c r="X49" s="24">
        <v>76878</v>
      </c>
      <c r="Y49" s="35">
        <v>9124429</v>
      </c>
      <c r="Z49" s="34"/>
      <c r="AA49" s="24"/>
      <c r="AB49" s="24"/>
      <c r="AC49" s="35"/>
      <c r="AD49" s="34">
        <v>5860224</v>
      </c>
      <c r="AE49" s="24">
        <v>1764116</v>
      </c>
      <c r="AF49" s="24">
        <v>1834612</v>
      </c>
      <c r="AG49" s="35">
        <v>107192000</v>
      </c>
      <c r="AH49" s="1"/>
    </row>
    <row r="50" spans="1:34">
      <c r="A50" s="28" t="s">
        <v>121</v>
      </c>
      <c r="B50" s="34">
        <v>6556014</v>
      </c>
      <c r="C50" s="24">
        <v>1731471</v>
      </c>
      <c r="D50" s="24">
        <v>1987955</v>
      </c>
      <c r="E50" s="35">
        <v>155178594</v>
      </c>
      <c r="F50" s="34">
        <v>3468247</v>
      </c>
      <c r="G50" s="24">
        <v>935261</v>
      </c>
      <c r="H50" s="24">
        <v>1215648</v>
      </c>
      <c r="I50" s="35">
        <v>49110849</v>
      </c>
      <c r="J50" s="34">
        <v>1073156</v>
      </c>
      <c r="K50" s="24">
        <v>301442</v>
      </c>
      <c r="L50" s="24">
        <v>209275</v>
      </c>
      <c r="M50" s="35">
        <v>16613417</v>
      </c>
      <c r="N50" s="34">
        <v>444083</v>
      </c>
      <c r="O50" s="24">
        <v>104887</v>
      </c>
      <c r="P50" s="24">
        <v>82873</v>
      </c>
      <c r="Q50" s="35">
        <v>8853987</v>
      </c>
      <c r="R50" s="34">
        <v>3249579</v>
      </c>
      <c r="S50" s="24">
        <v>857949</v>
      </c>
      <c r="T50" s="24">
        <v>929085</v>
      </c>
      <c r="U50" s="35">
        <v>45769726</v>
      </c>
      <c r="V50" s="34">
        <v>459222</v>
      </c>
      <c r="W50" s="24">
        <v>122303</v>
      </c>
      <c r="X50" s="24">
        <v>112171</v>
      </c>
      <c r="Y50" s="35">
        <v>9586705</v>
      </c>
      <c r="Z50" s="34"/>
      <c r="AA50" s="24"/>
      <c r="AB50" s="24"/>
      <c r="AC50" s="35"/>
      <c r="AD50" s="34">
        <v>6269063</v>
      </c>
      <c r="AE50" s="24">
        <v>1851414</v>
      </c>
      <c r="AF50" s="24">
        <v>2033022</v>
      </c>
      <c r="AG50" s="35">
        <v>103385000</v>
      </c>
      <c r="AH50" s="1"/>
    </row>
    <row r="51" spans="1:34">
      <c r="A51" s="28" t="s">
        <v>123</v>
      </c>
      <c r="B51" s="34">
        <v>6634710</v>
      </c>
      <c r="C51" s="24">
        <v>1509194.9139799997</v>
      </c>
      <c r="D51" s="24">
        <v>1909936.9139799997</v>
      </c>
      <c r="E51" s="35">
        <v>148158016</v>
      </c>
      <c r="F51" s="34">
        <v>3552765</v>
      </c>
      <c r="G51" s="24">
        <v>995724</v>
      </c>
      <c r="H51" s="24">
        <v>1165476</v>
      </c>
      <c r="I51" s="35">
        <v>49282597</v>
      </c>
      <c r="J51" s="34">
        <v>1083568</v>
      </c>
      <c r="K51" s="24">
        <v>313986</v>
      </c>
      <c r="L51" s="24">
        <v>222990</v>
      </c>
      <c r="M51" s="35">
        <v>14983722</v>
      </c>
      <c r="N51" s="34">
        <v>470116</v>
      </c>
      <c r="O51" s="24">
        <v>118912.74209</v>
      </c>
      <c r="P51" s="24">
        <v>97147</v>
      </c>
      <c r="Q51" s="35">
        <v>8545470</v>
      </c>
      <c r="R51" s="34">
        <v>3342971</v>
      </c>
      <c r="S51" s="24">
        <v>975391</v>
      </c>
      <c r="T51" s="24">
        <v>1104933</v>
      </c>
      <c r="U51" s="35">
        <v>45227518</v>
      </c>
      <c r="V51" s="34">
        <v>470430</v>
      </c>
      <c r="W51" s="24">
        <v>149470</v>
      </c>
      <c r="X51" s="24">
        <v>125471</v>
      </c>
      <c r="Y51" s="35">
        <v>9151853</v>
      </c>
      <c r="Z51" s="34"/>
      <c r="AA51" s="24"/>
      <c r="AB51" s="24"/>
      <c r="AC51" s="35"/>
      <c r="AD51" s="34">
        <v>6566179</v>
      </c>
      <c r="AE51" s="24">
        <v>1920274</v>
      </c>
      <c r="AF51" s="24">
        <v>2100230</v>
      </c>
      <c r="AG51" s="35">
        <v>107248000</v>
      </c>
      <c r="AH51" s="1"/>
    </row>
    <row r="52" spans="1:34">
      <c r="A52" s="28" t="s">
        <v>125</v>
      </c>
      <c r="B52" s="34">
        <v>6544627</v>
      </c>
      <c r="C52" s="24">
        <v>1495307</v>
      </c>
      <c r="D52" s="24">
        <v>2051311</v>
      </c>
      <c r="E52" s="35">
        <v>149541024</v>
      </c>
      <c r="F52" s="34">
        <v>3408944</v>
      </c>
      <c r="G52" s="24">
        <v>919005</v>
      </c>
      <c r="H52" s="24">
        <v>1176437</v>
      </c>
      <c r="I52" s="35">
        <v>48136616</v>
      </c>
      <c r="J52" s="34">
        <v>1076551</v>
      </c>
      <c r="K52" s="24">
        <v>310786</v>
      </c>
      <c r="L52" s="24">
        <v>200673</v>
      </c>
      <c r="M52" s="35">
        <v>15389671</v>
      </c>
      <c r="N52" s="34">
        <v>460034</v>
      </c>
      <c r="O52" s="24">
        <v>116400.00091000002</v>
      </c>
      <c r="P52" s="24">
        <v>97007.743000000017</v>
      </c>
      <c r="Q52" s="35">
        <v>9236323</v>
      </c>
      <c r="R52" s="34">
        <v>3236922</v>
      </c>
      <c r="S52" s="24">
        <v>746711</v>
      </c>
      <c r="T52" s="24">
        <v>968968</v>
      </c>
      <c r="U52" s="35">
        <v>43971338</v>
      </c>
      <c r="V52" s="34">
        <v>461932</v>
      </c>
      <c r="W52" s="24">
        <v>141235</v>
      </c>
      <c r="X52" s="24">
        <v>138881</v>
      </c>
      <c r="Y52" s="35">
        <v>9124862</v>
      </c>
      <c r="Z52" s="34"/>
      <c r="AA52" s="24"/>
      <c r="AB52" s="24"/>
      <c r="AC52" s="35"/>
      <c r="AD52" s="34">
        <v>6179708</v>
      </c>
      <c r="AE52" s="24">
        <v>1759401</v>
      </c>
      <c r="AF52" s="24">
        <v>1882166</v>
      </c>
      <c r="AG52" s="35">
        <v>102927000</v>
      </c>
      <c r="AH52" s="1"/>
    </row>
    <row r="53" spans="1:34">
      <c r="A53" s="28" t="s">
        <v>131</v>
      </c>
      <c r="B53" s="34">
        <v>5994254</v>
      </c>
      <c r="C53" s="24">
        <v>1303397.94</v>
      </c>
      <c r="D53" s="24">
        <v>1666321.35</v>
      </c>
      <c r="E53" s="35">
        <v>142959384</v>
      </c>
      <c r="F53" s="34">
        <v>3374826</v>
      </c>
      <c r="G53" s="24">
        <v>866747</v>
      </c>
      <c r="H53" s="24">
        <v>1137712</v>
      </c>
      <c r="I53" s="35">
        <v>49173438</v>
      </c>
      <c r="J53" s="34">
        <v>993766</v>
      </c>
      <c r="K53" s="24">
        <v>241484</v>
      </c>
      <c r="L53" s="24">
        <v>134546</v>
      </c>
      <c r="M53" s="35">
        <v>15150037</v>
      </c>
      <c r="N53" s="34">
        <v>443858</v>
      </c>
      <c r="O53" s="24">
        <v>94037</v>
      </c>
      <c r="P53" s="24">
        <v>72072</v>
      </c>
      <c r="Q53" s="35">
        <v>8976142</v>
      </c>
      <c r="R53" s="34">
        <v>3132138</v>
      </c>
      <c r="S53" s="24">
        <v>399683</v>
      </c>
      <c r="T53" s="24">
        <v>659008</v>
      </c>
      <c r="U53" s="35">
        <v>43894686</v>
      </c>
      <c r="V53" s="34">
        <v>498404</v>
      </c>
      <c r="W53" s="24">
        <v>141458</v>
      </c>
      <c r="X53" s="24">
        <v>132378</v>
      </c>
      <c r="Y53" s="35">
        <v>9079402</v>
      </c>
      <c r="Z53" s="34"/>
      <c r="AA53" s="24"/>
      <c r="AB53" s="24"/>
      <c r="AC53" s="35"/>
      <c r="AD53" s="34">
        <v>6052615</v>
      </c>
      <c r="AE53" s="24">
        <v>1650023</v>
      </c>
      <c r="AF53" s="24">
        <v>1814073</v>
      </c>
      <c r="AG53" s="35">
        <v>103826000</v>
      </c>
      <c r="AH53" s="1"/>
    </row>
    <row r="54" spans="1:34">
      <c r="A54" s="28" t="s">
        <v>132</v>
      </c>
      <c r="B54" s="34">
        <v>5788495</v>
      </c>
      <c r="C54" s="24">
        <v>1299887</v>
      </c>
      <c r="D54" s="24">
        <v>1713248</v>
      </c>
      <c r="E54" s="35">
        <v>141191906</v>
      </c>
      <c r="F54" s="34">
        <v>3372766</v>
      </c>
      <c r="G54" s="24">
        <v>907743</v>
      </c>
      <c r="H54" s="24">
        <v>1135117</v>
      </c>
      <c r="I54" s="35">
        <v>49205912</v>
      </c>
      <c r="J54" s="34">
        <v>940559</v>
      </c>
      <c r="K54" s="24">
        <v>216958</v>
      </c>
      <c r="L54" s="24">
        <v>100237</v>
      </c>
      <c r="M54" s="35">
        <v>13827063</v>
      </c>
      <c r="N54" s="34">
        <v>420972</v>
      </c>
      <c r="O54" s="24">
        <v>31416.629499999999</v>
      </c>
      <c r="P54" s="24">
        <v>10831.900000000001</v>
      </c>
      <c r="Q54" s="35">
        <v>8423683</v>
      </c>
      <c r="R54" s="34">
        <v>2980369</v>
      </c>
      <c r="S54" s="24">
        <v>285668</v>
      </c>
      <c r="T54" s="24">
        <v>548780</v>
      </c>
      <c r="U54" s="35">
        <v>44251633</v>
      </c>
      <c r="V54" s="34">
        <v>431922</v>
      </c>
      <c r="W54" s="24">
        <v>98843.538310000033</v>
      </c>
      <c r="X54" s="24">
        <v>102864.53831000003</v>
      </c>
      <c r="Y54" s="35">
        <v>8587666</v>
      </c>
      <c r="Z54" s="34"/>
      <c r="AA54" s="24"/>
      <c r="AB54" s="24"/>
      <c r="AC54" s="35"/>
      <c r="AD54" s="34">
        <v>5950520</v>
      </c>
      <c r="AE54" s="24">
        <v>1691056</v>
      </c>
      <c r="AF54" s="24">
        <v>1769035</v>
      </c>
      <c r="AG54" s="35">
        <v>101498000</v>
      </c>
      <c r="AH54" s="1"/>
    </row>
    <row r="55" spans="1:34">
      <c r="A55" s="28" t="s">
        <v>133</v>
      </c>
      <c r="B55" s="34">
        <v>5801268</v>
      </c>
      <c r="C55" s="24">
        <v>1243626</v>
      </c>
      <c r="D55" s="24">
        <v>1696008</v>
      </c>
      <c r="E55" s="35">
        <v>142989118</v>
      </c>
      <c r="F55" s="34">
        <v>3260076</v>
      </c>
      <c r="G55" s="24">
        <v>736544</v>
      </c>
      <c r="H55" s="24">
        <v>985992</v>
      </c>
      <c r="I55" s="35">
        <v>48657059</v>
      </c>
      <c r="J55" s="34">
        <v>926143</v>
      </c>
      <c r="K55" s="24">
        <v>224326</v>
      </c>
      <c r="L55" s="24">
        <v>110333</v>
      </c>
      <c r="M55" s="35">
        <v>13409808</v>
      </c>
      <c r="N55" s="34">
        <v>438527</v>
      </c>
      <c r="O55" s="24">
        <v>67688</v>
      </c>
      <c r="P55" s="24">
        <v>46848</v>
      </c>
      <c r="Q55" s="35">
        <v>9248401</v>
      </c>
      <c r="R55" s="34">
        <v>2969895</v>
      </c>
      <c r="S55" s="24">
        <v>420600</v>
      </c>
      <c r="T55" s="24">
        <v>754328</v>
      </c>
      <c r="U55" s="35">
        <v>43173306</v>
      </c>
      <c r="V55" s="34">
        <v>451064</v>
      </c>
      <c r="W55" s="24">
        <v>124456.59109000003</v>
      </c>
      <c r="X55" s="24">
        <v>126755.46169000003</v>
      </c>
      <c r="Y55" s="35">
        <v>9163432</v>
      </c>
      <c r="Z55" s="34"/>
      <c r="AA55" s="24"/>
      <c r="AB55" s="24"/>
      <c r="AC55" s="35"/>
      <c r="AD55" s="34">
        <v>5927783</v>
      </c>
      <c r="AE55" s="24">
        <v>1626042</v>
      </c>
      <c r="AF55" s="24">
        <v>1725226</v>
      </c>
      <c r="AG55" s="35">
        <v>103032000</v>
      </c>
      <c r="AH55" s="1"/>
    </row>
    <row r="56" spans="1:34">
      <c r="A56" s="28" t="s">
        <v>134</v>
      </c>
      <c r="B56" s="34">
        <v>6247370</v>
      </c>
      <c r="C56" s="24">
        <v>1391032</v>
      </c>
      <c r="D56" s="24">
        <v>1881068</v>
      </c>
      <c r="E56" s="35">
        <v>151863076</v>
      </c>
      <c r="F56" s="34">
        <v>3376557</v>
      </c>
      <c r="G56" s="24">
        <v>842915</v>
      </c>
      <c r="H56" s="24">
        <v>1120919</v>
      </c>
      <c r="I56" s="39">
        <v>49368203</v>
      </c>
      <c r="J56" s="34">
        <v>979518</v>
      </c>
      <c r="K56" s="24">
        <v>250220</v>
      </c>
      <c r="L56" s="24">
        <v>128090</v>
      </c>
      <c r="M56" s="35">
        <v>14762562</v>
      </c>
      <c r="N56" s="34">
        <v>453391</v>
      </c>
      <c r="O56" s="24">
        <v>113966</v>
      </c>
      <c r="P56" s="24">
        <v>97921</v>
      </c>
      <c r="Q56" s="35">
        <v>9290266</v>
      </c>
      <c r="R56" s="34">
        <v>3073732</v>
      </c>
      <c r="S56" s="24">
        <v>461346</v>
      </c>
      <c r="T56" s="24">
        <v>805741</v>
      </c>
      <c r="U56" s="35">
        <v>44726035</v>
      </c>
      <c r="V56" s="34">
        <v>386285</v>
      </c>
      <c r="W56" s="24">
        <v>57405.80831</v>
      </c>
      <c r="X56" s="24">
        <v>57948</v>
      </c>
      <c r="Y56" s="35">
        <v>9536260</v>
      </c>
      <c r="Z56" s="34"/>
      <c r="AA56" s="24"/>
      <c r="AB56" s="24"/>
      <c r="AC56" s="35"/>
      <c r="AD56" s="34">
        <v>6113618</v>
      </c>
      <c r="AE56" s="24">
        <v>1749587.8399999999</v>
      </c>
      <c r="AF56" s="24">
        <v>1819288.84</v>
      </c>
      <c r="AG56" s="35">
        <v>104943000</v>
      </c>
      <c r="AH56" s="1"/>
    </row>
    <row r="57" spans="1:34">
      <c r="A57" s="28" t="s">
        <v>135</v>
      </c>
      <c r="B57" s="34">
        <v>5736449</v>
      </c>
      <c r="C57" s="24">
        <v>1144827</v>
      </c>
      <c r="D57" s="24">
        <v>1652450</v>
      </c>
      <c r="E57" s="35">
        <v>140913597</v>
      </c>
      <c r="F57" s="34">
        <v>3367337</v>
      </c>
      <c r="G57" s="24">
        <v>805107</v>
      </c>
      <c r="H57" s="24">
        <v>1064117</v>
      </c>
      <c r="I57" s="39">
        <v>49796045</v>
      </c>
      <c r="J57" s="34">
        <v>909158</v>
      </c>
      <c r="K57" s="24">
        <v>181893</v>
      </c>
      <c r="L57" s="24">
        <v>63267</v>
      </c>
      <c r="M57" s="35">
        <v>14101670</v>
      </c>
      <c r="N57" s="34"/>
      <c r="O57" s="24"/>
      <c r="P57" s="24"/>
      <c r="Q57" s="35"/>
      <c r="R57" s="34">
        <v>3004044</v>
      </c>
      <c r="S57" s="24">
        <v>26957</v>
      </c>
      <c r="T57" s="24">
        <v>314546</v>
      </c>
      <c r="U57" s="35">
        <v>44272086</v>
      </c>
      <c r="V57" s="34"/>
      <c r="W57" s="24"/>
      <c r="X57" s="24"/>
      <c r="Y57" s="35"/>
      <c r="Z57" s="34">
        <v>868556</v>
      </c>
      <c r="AA57" s="24">
        <v>178877.80830999999</v>
      </c>
      <c r="AB57" s="24">
        <v>163031</v>
      </c>
      <c r="AC57" s="35">
        <v>18162006</v>
      </c>
      <c r="AD57" s="34">
        <v>6020198</v>
      </c>
      <c r="AE57" s="24">
        <v>1763241</v>
      </c>
      <c r="AF57" s="24">
        <v>1819347</v>
      </c>
      <c r="AG57" s="35">
        <v>101265000</v>
      </c>
      <c r="AH57" s="1"/>
    </row>
    <row r="58" spans="1:34">
      <c r="A58" s="28" t="s">
        <v>136</v>
      </c>
      <c r="B58" s="34">
        <v>5816105</v>
      </c>
      <c r="C58" s="24">
        <v>1255010</v>
      </c>
      <c r="D58" s="24">
        <v>1775991</v>
      </c>
      <c r="E58" s="35">
        <v>138893860</v>
      </c>
      <c r="F58" s="34">
        <v>3383952</v>
      </c>
      <c r="G58" s="36">
        <v>936779.29274669359</v>
      </c>
      <c r="H58" s="36">
        <v>1269335.2927466936</v>
      </c>
      <c r="I58" s="39">
        <v>49796045</v>
      </c>
      <c r="J58" s="34">
        <v>957041</v>
      </c>
      <c r="K58" s="24">
        <v>217464</v>
      </c>
      <c r="L58" s="24">
        <v>94001</v>
      </c>
      <c r="M58" s="35">
        <v>13696178</v>
      </c>
      <c r="N58" s="34"/>
      <c r="O58" s="24"/>
      <c r="P58" s="24"/>
      <c r="Q58" s="35"/>
      <c r="R58" s="34">
        <v>3044047</v>
      </c>
      <c r="S58" s="24">
        <v>691775</v>
      </c>
      <c r="T58" s="24">
        <v>1004477</v>
      </c>
      <c r="U58" s="35">
        <v>44382854</v>
      </c>
      <c r="V58" s="34"/>
      <c r="W58" s="24"/>
      <c r="X58" s="24"/>
      <c r="Y58" s="35"/>
      <c r="Z58" s="34">
        <v>880518</v>
      </c>
      <c r="AA58" s="24">
        <v>181024</v>
      </c>
      <c r="AB58" s="24">
        <v>170218</v>
      </c>
      <c r="AC58" s="35">
        <v>17866506</v>
      </c>
      <c r="AD58" s="34">
        <v>5991375</v>
      </c>
      <c r="AE58" s="24">
        <v>1753426</v>
      </c>
      <c r="AF58" s="24">
        <v>1849980</v>
      </c>
      <c r="AG58" s="35">
        <v>99992000</v>
      </c>
      <c r="AH58" s="1"/>
    </row>
    <row r="59" spans="1:34">
      <c r="A59" s="28" t="s">
        <v>137</v>
      </c>
      <c r="B59" s="34">
        <v>5981979</v>
      </c>
      <c r="C59" s="24">
        <v>1403282</v>
      </c>
      <c r="D59" s="24">
        <v>1908558</v>
      </c>
      <c r="E59" s="35">
        <v>146849157</v>
      </c>
      <c r="F59" s="34">
        <v>3310320</v>
      </c>
      <c r="G59" s="36">
        <v>814147</v>
      </c>
      <c r="H59" s="36">
        <v>1093974</v>
      </c>
      <c r="I59" s="39">
        <v>49490590</v>
      </c>
      <c r="J59" s="34">
        <v>928835</v>
      </c>
      <c r="K59" s="24">
        <v>196659</v>
      </c>
      <c r="L59" s="24">
        <v>89366</v>
      </c>
      <c r="M59" s="35">
        <v>13606969</v>
      </c>
      <c r="N59" s="34"/>
      <c r="O59" s="24"/>
      <c r="P59" s="24"/>
      <c r="Q59" s="35"/>
      <c r="R59" s="34">
        <v>3051487</v>
      </c>
      <c r="S59" s="24">
        <v>642469</v>
      </c>
      <c r="T59" s="24">
        <v>1343179</v>
      </c>
      <c r="U59" s="35">
        <v>44422562</v>
      </c>
      <c r="V59" s="34"/>
      <c r="W59" s="24"/>
      <c r="X59" s="24"/>
      <c r="Y59" s="35"/>
      <c r="Z59" s="34">
        <v>923251</v>
      </c>
      <c r="AA59" s="24">
        <v>191940</v>
      </c>
      <c r="AB59" s="24">
        <v>179144</v>
      </c>
      <c r="AC59" s="35">
        <v>18606994</v>
      </c>
      <c r="AD59" s="34">
        <v>6075741</v>
      </c>
      <c r="AE59" s="24">
        <v>1753331</v>
      </c>
      <c r="AF59" s="24">
        <v>1911356</v>
      </c>
      <c r="AG59" s="35">
        <v>104035000</v>
      </c>
      <c r="AH59" s="1"/>
    </row>
    <row r="60" spans="1:34">
      <c r="A60" s="28" t="s">
        <v>138</v>
      </c>
      <c r="B60" s="34">
        <v>6212446</v>
      </c>
      <c r="C60" s="24">
        <v>1361919</v>
      </c>
      <c r="D60" s="24">
        <v>1759842</v>
      </c>
      <c r="E60" s="35">
        <v>151021331</v>
      </c>
      <c r="F60" s="34">
        <v>3216710</v>
      </c>
      <c r="G60" s="36">
        <v>748628</v>
      </c>
      <c r="H60" s="36">
        <v>1017877</v>
      </c>
      <c r="I60" s="39">
        <v>49293347</v>
      </c>
      <c r="J60" s="34">
        <v>931698</v>
      </c>
      <c r="K60" s="24">
        <v>213763</v>
      </c>
      <c r="L60" s="24">
        <v>96059</v>
      </c>
      <c r="M60" s="35">
        <v>14643142</v>
      </c>
      <c r="N60" s="34"/>
      <c r="O60" s="24"/>
      <c r="P60" s="24"/>
      <c r="Q60" s="35"/>
      <c r="R60" s="34">
        <v>3022889</v>
      </c>
      <c r="S60" s="24">
        <v>705333</v>
      </c>
      <c r="T60" s="24">
        <v>1009734</v>
      </c>
      <c r="U60" s="35">
        <v>44961698</v>
      </c>
      <c r="V60" s="34"/>
      <c r="W60" s="24"/>
      <c r="X60" s="24"/>
      <c r="Y60" s="35"/>
      <c r="Z60" s="24">
        <v>925343</v>
      </c>
      <c r="AA60" s="24">
        <v>279970</v>
      </c>
      <c r="AB60" s="24">
        <v>265700</v>
      </c>
      <c r="AC60" s="35">
        <v>18932320</v>
      </c>
      <c r="AD60" s="34">
        <v>6105980</v>
      </c>
      <c r="AE60" s="24">
        <v>1721560</v>
      </c>
      <c r="AF60" s="24">
        <v>1818868</v>
      </c>
      <c r="AG60" s="35">
        <v>104424000</v>
      </c>
      <c r="AH60" s="55"/>
    </row>
    <row r="61" spans="1:34">
      <c r="A61" s="28" t="s">
        <v>143</v>
      </c>
      <c r="B61" s="34">
        <v>5771220</v>
      </c>
      <c r="C61" s="24">
        <v>1258985</v>
      </c>
      <c r="D61" s="24">
        <v>1660148</v>
      </c>
      <c r="E61" s="35">
        <v>138699000</v>
      </c>
      <c r="F61" s="34">
        <v>3120082.6770000001</v>
      </c>
      <c r="G61" s="24">
        <v>600522.98099999991</v>
      </c>
      <c r="H61" s="24">
        <v>863632.12699999998</v>
      </c>
      <c r="I61" s="35">
        <v>48706830.281000003</v>
      </c>
      <c r="J61" s="34">
        <v>908949.88300000003</v>
      </c>
      <c r="K61" s="24">
        <v>185862.533</v>
      </c>
      <c r="L61" s="24">
        <v>94897.973999999987</v>
      </c>
      <c r="M61" s="35">
        <v>14510080.143999999</v>
      </c>
      <c r="N61" s="34"/>
      <c r="O61" s="24"/>
      <c r="P61" s="24"/>
      <c r="Q61" s="35"/>
      <c r="R61" s="34">
        <v>2993257.2489999998</v>
      </c>
      <c r="S61" s="24">
        <v>690811.49299999978</v>
      </c>
      <c r="T61" s="24">
        <v>1006076.2689999999</v>
      </c>
      <c r="U61" s="35">
        <v>44909199</v>
      </c>
      <c r="V61" s="34"/>
      <c r="W61" s="24"/>
      <c r="X61" s="24"/>
      <c r="Y61" s="35"/>
      <c r="Z61" s="34">
        <v>913009.19200000004</v>
      </c>
      <c r="AA61" s="24">
        <v>212872.9910000001</v>
      </c>
      <c r="AB61" s="24">
        <v>186675.71800000005</v>
      </c>
      <c r="AC61" s="35">
        <v>18585707.425999999</v>
      </c>
      <c r="AD61" s="34">
        <v>6011166</v>
      </c>
      <c r="AE61" s="24">
        <v>1744552</v>
      </c>
      <c r="AF61" s="24">
        <v>1849609</v>
      </c>
      <c r="AG61" s="35">
        <v>104011000</v>
      </c>
      <c r="AH61" s="1"/>
    </row>
    <row r="62" spans="1:34">
      <c r="A62" s="28" t="s">
        <v>144</v>
      </c>
      <c r="B62" s="34">
        <v>5819246</v>
      </c>
      <c r="C62" s="24">
        <v>1511053</v>
      </c>
      <c r="D62" s="24">
        <v>1937624</v>
      </c>
      <c r="E62" s="35">
        <v>139820194</v>
      </c>
      <c r="F62" s="34">
        <v>3258851.9279999998</v>
      </c>
      <c r="G62" s="24">
        <v>777929.98400000005</v>
      </c>
      <c r="H62" s="24">
        <v>1110401.888</v>
      </c>
      <c r="I62" s="35">
        <v>51554351.660999998</v>
      </c>
      <c r="J62" s="34">
        <v>909207.05299999996</v>
      </c>
      <c r="K62" s="24">
        <v>182660.73399999991</v>
      </c>
      <c r="L62" s="24">
        <v>70347.417999999918</v>
      </c>
      <c r="M62" s="35">
        <v>13067498.068</v>
      </c>
      <c r="N62" s="34"/>
      <c r="O62" s="24"/>
      <c r="P62" s="24"/>
      <c r="Q62" s="35"/>
      <c r="R62" s="34">
        <v>3109359.8330000001</v>
      </c>
      <c r="S62" s="24">
        <v>708036.70200000005</v>
      </c>
      <c r="T62" s="24">
        <v>1012832.8750000001</v>
      </c>
      <c r="U62" s="35">
        <v>46893799</v>
      </c>
      <c r="V62" s="34"/>
      <c r="W62" s="24"/>
      <c r="X62" s="24"/>
      <c r="Y62" s="35"/>
      <c r="Z62" s="34">
        <v>874785.88300000003</v>
      </c>
      <c r="AA62" s="24">
        <v>163957.03399999999</v>
      </c>
      <c r="AB62" s="24">
        <v>157898.90999999997</v>
      </c>
      <c r="AC62" s="35">
        <v>17822801.671999998</v>
      </c>
      <c r="AD62" s="34">
        <v>6135828</v>
      </c>
      <c r="AE62" s="24">
        <v>1942539</v>
      </c>
      <c r="AF62" s="24">
        <v>2113411</v>
      </c>
      <c r="AG62" s="35">
        <v>107550000</v>
      </c>
      <c r="AH62" s="1"/>
    </row>
    <row r="63" spans="1:34">
      <c r="A63" s="28" t="s">
        <v>145</v>
      </c>
      <c r="B63" s="34">
        <v>6088493</v>
      </c>
      <c r="C63" s="24">
        <v>1525780</v>
      </c>
      <c r="D63" s="24">
        <v>1893864</v>
      </c>
      <c r="E63" s="35">
        <v>144727000</v>
      </c>
      <c r="F63" s="34">
        <v>3282634.0649999999</v>
      </c>
      <c r="G63" s="24">
        <v>759680.83699999982</v>
      </c>
      <c r="H63" s="24">
        <v>1023708.84</v>
      </c>
      <c r="I63" s="35">
        <v>51214989.879000001</v>
      </c>
      <c r="J63" s="34">
        <v>927368.70700000005</v>
      </c>
      <c r="K63" s="24">
        <v>196137.11000000004</v>
      </c>
      <c r="L63" s="24">
        <v>94471.014000000083</v>
      </c>
      <c r="M63" s="35">
        <v>13275479.776000001</v>
      </c>
      <c r="N63" s="34"/>
      <c r="O63" s="24"/>
      <c r="P63" s="24"/>
      <c r="Q63" s="35"/>
      <c r="R63" s="34">
        <v>3103715.8870000001</v>
      </c>
      <c r="S63" s="24">
        <v>606837.91599999997</v>
      </c>
      <c r="T63" s="24">
        <v>965876.00599999982</v>
      </c>
      <c r="U63" s="35">
        <v>46784998</v>
      </c>
      <c r="V63" s="34"/>
      <c r="W63" s="24"/>
      <c r="X63" s="24"/>
      <c r="Y63" s="35"/>
      <c r="Z63" s="34">
        <v>906513.16599999997</v>
      </c>
      <c r="AA63" s="24">
        <v>214099.36699999991</v>
      </c>
      <c r="AB63" s="24">
        <v>216983.18999999994</v>
      </c>
      <c r="AC63" s="35">
        <v>19202536.570999999</v>
      </c>
      <c r="AD63" s="34">
        <v>6228503</v>
      </c>
      <c r="AE63" s="24">
        <v>1887618</v>
      </c>
      <c r="AF63" s="24">
        <v>2068292</v>
      </c>
      <c r="AG63" s="35">
        <v>108855000</v>
      </c>
      <c r="AH63" s="1"/>
    </row>
    <row r="64" spans="1:34" ht="10.5" thickBot="1">
      <c r="A64" s="60"/>
      <c r="B64" s="34"/>
      <c r="C64" s="24"/>
      <c r="D64" s="24"/>
      <c r="E64" s="24"/>
      <c r="F64" s="34"/>
      <c r="G64" s="36"/>
      <c r="H64" s="36"/>
      <c r="I64" s="39"/>
      <c r="J64" s="34"/>
      <c r="K64" s="24"/>
      <c r="L64" s="24"/>
      <c r="M64" s="35"/>
      <c r="N64" s="34"/>
      <c r="O64" s="24"/>
      <c r="P64" s="24"/>
      <c r="Q64" s="35"/>
      <c r="R64" s="34"/>
      <c r="S64" s="24"/>
      <c r="T64" s="24"/>
      <c r="U64" s="35"/>
      <c r="V64" s="34"/>
      <c r="W64" s="24"/>
      <c r="X64" s="24"/>
      <c r="Y64" s="35"/>
      <c r="Z64" s="34"/>
      <c r="AA64" s="24"/>
      <c r="AB64" s="24"/>
      <c r="AC64" s="35"/>
      <c r="AD64" s="34"/>
      <c r="AE64" s="24"/>
      <c r="AF64" s="24"/>
      <c r="AG64" s="35"/>
      <c r="AH64" s="1"/>
    </row>
    <row r="65" spans="1:40">
      <c r="A65" s="28"/>
      <c r="B65" s="62"/>
      <c r="C65" s="63"/>
      <c r="D65" s="63"/>
      <c r="E65" s="63"/>
      <c r="F65" s="62"/>
      <c r="G65" s="64"/>
      <c r="H65" s="64"/>
      <c r="I65" s="65"/>
      <c r="J65" s="63"/>
      <c r="K65" s="63"/>
      <c r="L65" s="63"/>
      <c r="M65" s="63"/>
      <c r="N65" s="62"/>
      <c r="O65" s="63"/>
      <c r="P65" s="63"/>
      <c r="Q65" s="66"/>
      <c r="R65" s="63"/>
      <c r="S65" s="63"/>
      <c r="T65" s="63"/>
      <c r="U65" s="63"/>
      <c r="V65" s="62"/>
      <c r="W65" s="63"/>
      <c r="X65" s="63"/>
      <c r="Y65" s="66"/>
      <c r="Z65" s="63"/>
      <c r="AA65" s="63"/>
      <c r="AB65" s="63"/>
      <c r="AC65" s="63"/>
      <c r="AD65" s="62"/>
      <c r="AE65" s="63"/>
      <c r="AF65" s="63"/>
      <c r="AG65" s="66"/>
      <c r="AH65" s="1"/>
    </row>
    <row r="66" spans="1:40" ht="10.5">
      <c r="B66" s="73" t="s">
        <v>19</v>
      </c>
      <c r="C66" s="74"/>
      <c r="D66" s="74"/>
      <c r="E66" s="74"/>
      <c r="F66" s="73" t="s">
        <v>20</v>
      </c>
      <c r="G66" s="74"/>
      <c r="H66" s="74"/>
      <c r="I66" s="75"/>
      <c r="J66" s="74" t="s">
        <v>21</v>
      </c>
      <c r="K66" s="74"/>
      <c r="L66" s="74"/>
      <c r="M66" s="74"/>
      <c r="N66" s="73" t="s">
        <v>22</v>
      </c>
      <c r="O66" s="74"/>
      <c r="P66" s="74"/>
      <c r="Q66" s="75"/>
      <c r="R66" s="74" t="s">
        <v>23</v>
      </c>
      <c r="S66" s="74"/>
      <c r="T66" s="74"/>
      <c r="U66" s="74"/>
      <c r="V66" s="73" t="s">
        <v>24</v>
      </c>
      <c r="W66" s="74"/>
      <c r="X66" s="74"/>
      <c r="Y66" s="75"/>
      <c r="Z66" s="73" t="s">
        <v>150</v>
      </c>
      <c r="AA66" s="74"/>
      <c r="AB66" s="74"/>
      <c r="AC66" s="75"/>
      <c r="AD66" s="73" t="s">
        <v>25</v>
      </c>
      <c r="AE66" s="74"/>
      <c r="AF66" s="74"/>
      <c r="AG66" s="75"/>
      <c r="AN66" s="1"/>
    </row>
    <row r="67" spans="1:40" ht="34" customHeight="1" thickBot="1">
      <c r="A67" s="33" t="s">
        <v>73</v>
      </c>
      <c r="B67" s="56" t="s">
        <v>0</v>
      </c>
      <c r="C67" s="57" t="s">
        <v>1</v>
      </c>
      <c r="D67" s="57" t="s">
        <v>2</v>
      </c>
      <c r="E67" s="67" t="s">
        <v>37</v>
      </c>
      <c r="F67" s="56" t="s">
        <v>0</v>
      </c>
      <c r="G67" s="57" t="s">
        <v>1</v>
      </c>
      <c r="H67" s="57" t="s">
        <v>2</v>
      </c>
      <c r="I67" s="58" t="s">
        <v>37</v>
      </c>
      <c r="J67" s="57" t="s">
        <v>0</v>
      </c>
      <c r="K67" s="57" t="s">
        <v>1</v>
      </c>
      <c r="L67" s="57" t="s">
        <v>2</v>
      </c>
      <c r="M67" s="67" t="s">
        <v>37</v>
      </c>
      <c r="N67" s="56" t="s">
        <v>0</v>
      </c>
      <c r="O67" s="57" t="s">
        <v>1</v>
      </c>
      <c r="P67" s="57" t="s">
        <v>2</v>
      </c>
      <c r="Q67" s="58" t="s">
        <v>37</v>
      </c>
      <c r="R67" s="57" t="s">
        <v>0</v>
      </c>
      <c r="S67" s="57" t="s">
        <v>1</v>
      </c>
      <c r="T67" s="57" t="s">
        <v>2</v>
      </c>
      <c r="U67" s="67" t="s">
        <v>37</v>
      </c>
      <c r="V67" s="56" t="s">
        <v>0</v>
      </c>
      <c r="W67" s="57" t="s">
        <v>1</v>
      </c>
      <c r="X67" s="57" t="s">
        <v>2</v>
      </c>
      <c r="Y67" s="58" t="s">
        <v>37</v>
      </c>
      <c r="Z67" s="57" t="s">
        <v>0</v>
      </c>
      <c r="AA67" s="57" t="s">
        <v>1</v>
      </c>
      <c r="AB67" s="57" t="s">
        <v>2</v>
      </c>
      <c r="AC67" s="67" t="s">
        <v>37</v>
      </c>
      <c r="AD67" s="56" t="s">
        <v>0</v>
      </c>
      <c r="AE67" s="57" t="s">
        <v>1</v>
      </c>
      <c r="AF67" s="57" t="s">
        <v>2</v>
      </c>
      <c r="AG67" s="58" t="s">
        <v>37</v>
      </c>
    </row>
    <row r="68" spans="1:40">
      <c r="A68" s="1" t="s">
        <v>57</v>
      </c>
      <c r="B68" s="34">
        <f t="shared" ref="B68:Y68" si="0">SUM(B10:B13)</f>
        <v>21112835</v>
      </c>
      <c r="C68" s="24">
        <f t="shared" si="0"/>
        <v>3791381</v>
      </c>
      <c r="D68" s="24">
        <f t="shared" si="0"/>
        <v>3838618</v>
      </c>
      <c r="E68" s="24">
        <f t="shared" si="0"/>
        <v>656999230</v>
      </c>
      <c r="F68" s="34">
        <f t="shared" si="0"/>
        <v>11403937</v>
      </c>
      <c r="G68" s="24">
        <f t="shared" si="0"/>
        <v>1745846</v>
      </c>
      <c r="H68" s="24">
        <f t="shared" si="0"/>
        <v>1831881</v>
      </c>
      <c r="I68" s="35">
        <f t="shared" si="0"/>
        <v>222375167</v>
      </c>
      <c r="J68" s="24">
        <f t="shared" si="0"/>
        <v>3131289</v>
      </c>
      <c r="K68" s="24">
        <f t="shared" si="0"/>
        <v>736922</v>
      </c>
      <c r="L68" s="24">
        <f t="shared" si="0"/>
        <v>442435</v>
      </c>
      <c r="M68" s="24">
        <f t="shared" si="0"/>
        <v>56699419</v>
      </c>
      <c r="N68" s="34">
        <f t="shared" si="0"/>
        <v>1202125</v>
      </c>
      <c r="O68" s="24">
        <f t="shared" si="0"/>
        <v>220220</v>
      </c>
      <c r="P68" s="24">
        <f t="shared" si="0"/>
        <v>162084</v>
      </c>
      <c r="Q68" s="35">
        <f t="shared" si="0"/>
        <v>30629324</v>
      </c>
      <c r="R68" s="24">
        <f t="shared" si="0"/>
        <v>10988831</v>
      </c>
      <c r="S68" s="24">
        <f t="shared" si="0"/>
        <v>1811969</v>
      </c>
      <c r="T68" s="24">
        <f t="shared" si="0"/>
        <v>1880537</v>
      </c>
      <c r="U68" s="24">
        <f t="shared" si="0"/>
        <v>187834537</v>
      </c>
      <c r="V68" s="34">
        <f t="shared" si="0"/>
        <v>1641674</v>
      </c>
      <c r="W68" s="24">
        <f t="shared" si="0"/>
        <v>185659</v>
      </c>
      <c r="X68" s="24">
        <f t="shared" si="0"/>
        <v>74220</v>
      </c>
      <c r="Y68" s="35">
        <f t="shared" si="0"/>
        <v>37789948</v>
      </c>
      <c r="Z68" s="24"/>
      <c r="AA68" s="24"/>
      <c r="AB68" s="24"/>
      <c r="AC68" s="24"/>
      <c r="AD68" s="34">
        <f t="shared" ref="AD68:AG87" si="1">SUM(AD10:AD13)</f>
        <v>21075893</v>
      </c>
      <c r="AE68" s="24">
        <f t="shared" si="1"/>
        <v>4094609</v>
      </c>
      <c r="AF68" s="24">
        <f t="shared" si="1"/>
        <v>4163285</v>
      </c>
      <c r="AG68" s="35">
        <f t="shared" si="1"/>
        <v>512367000</v>
      </c>
    </row>
    <row r="69" spans="1:40">
      <c r="A69" s="1" t="s">
        <v>58</v>
      </c>
      <c r="B69" s="34">
        <f t="shared" ref="B69:Y69" si="2">SUM(B11:B14)</f>
        <v>21363758</v>
      </c>
      <c r="C69" s="24">
        <f t="shared" si="2"/>
        <v>3879411</v>
      </c>
      <c r="D69" s="24">
        <f t="shared" si="2"/>
        <v>3948595</v>
      </c>
      <c r="E69" s="24">
        <f t="shared" si="2"/>
        <v>660364698</v>
      </c>
      <c r="F69" s="34">
        <f t="shared" si="2"/>
        <v>11393686</v>
      </c>
      <c r="G69" s="24">
        <f t="shared" si="2"/>
        <v>1731711</v>
      </c>
      <c r="H69" s="24">
        <f t="shared" si="2"/>
        <v>1822639</v>
      </c>
      <c r="I69" s="35">
        <f t="shared" si="2"/>
        <v>222524888</v>
      </c>
      <c r="J69" s="24">
        <f t="shared" si="2"/>
        <v>3162384</v>
      </c>
      <c r="K69" s="24">
        <f t="shared" si="2"/>
        <v>751120</v>
      </c>
      <c r="L69" s="24">
        <f t="shared" si="2"/>
        <v>473429</v>
      </c>
      <c r="M69" s="24">
        <f t="shared" si="2"/>
        <v>57512727</v>
      </c>
      <c r="N69" s="34">
        <f t="shared" si="2"/>
        <v>1216176</v>
      </c>
      <c r="O69" s="24">
        <f t="shared" si="2"/>
        <v>229150</v>
      </c>
      <c r="P69" s="24">
        <f t="shared" si="2"/>
        <v>171903</v>
      </c>
      <c r="Q69" s="35">
        <f t="shared" si="2"/>
        <v>31201547</v>
      </c>
      <c r="R69" s="24">
        <f t="shared" si="2"/>
        <v>10917050</v>
      </c>
      <c r="S69" s="24">
        <f t="shared" si="2"/>
        <v>1757108</v>
      </c>
      <c r="T69" s="24">
        <f t="shared" si="2"/>
        <v>1815323</v>
      </c>
      <c r="U69" s="24">
        <f t="shared" si="2"/>
        <v>189244641</v>
      </c>
      <c r="V69" s="34">
        <f t="shared" si="2"/>
        <v>1700938</v>
      </c>
      <c r="W69" s="24">
        <f t="shared" si="2"/>
        <v>242664</v>
      </c>
      <c r="X69" s="24">
        <f t="shared" si="2"/>
        <v>132072</v>
      </c>
      <c r="Y69" s="35">
        <f t="shared" si="2"/>
        <v>39483418</v>
      </c>
      <c r="Z69" s="24"/>
      <c r="AA69" s="24"/>
      <c r="AB69" s="24"/>
      <c r="AC69" s="24"/>
      <c r="AD69" s="34">
        <f t="shared" si="1"/>
        <v>21324770</v>
      </c>
      <c r="AE69" s="24">
        <f t="shared" si="1"/>
        <v>4184446</v>
      </c>
      <c r="AF69" s="24">
        <f t="shared" si="1"/>
        <v>4275624</v>
      </c>
      <c r="AG69" s="35">
        <f t="shared" si="1"/>
        <v>513152000</v>
      </c>
    </row>
    <row r="70" spans="1:40">
      <c r="A70" s="1" t="s">
        <v>76</v>
      </c>
      <c r="B70" s="34">
        <f t="shared" ref="B70:Y70" si="3">SUM(B12:B15)</f>
        <v>21608783</v>
      </c>
      <c r="C70" s="24">
        <f t="shared" si="3"/>
        <v>3935410</v>
      </c>
      <c r="D70" s="24">
        <f t="shared" si="3"/>
        <v>4004142</v>
      </c>
      <c r="E70" s="24">
        <f t="shared" si="3"/>
        <v>666421106</v>
      </c>
      <c r="F70" s="34">
        <f t="shared" si="3"/>
        <v>11432753</v>
      </c>
      <c r="G70" s="24">
        <f t="shared" si="3"/>
        <v>1734998</v>
      </c>
      <c r="H70" s="24">
        <f t="shared" si="3"/>
        <v>1837874</v>
      </c>
      <c r="I70" s="35">
        <f t="shared" si="3"/>
        <v>223219482</v>
      </c>
      <c r="J70" s="24">
        <f t="shared" si="3"/>
        <v>3213174</v>
      </c>
      <c r="K70" s="24">
        <f t="shared" si="3"/>
        <v>773185</v>
      </c>
      <c r="L70" s="24">
        <f t="shared" si="3"/>
        <v>480469</v>
      </c>
      <c r="M70" s="24">
        <f t="shared" si="3"/>
        <v>58318648</v>
      </c>
      <c r="N70" s="34">
        <f t="shared" si="3"/>
        <v>1238784</v>
      </c>
      <c r="O70" s="24">
        <f t="shared" si="3"/>
        <v>239161</v>
      </c>
      <c r="P70" s="24">
        <f t="shared" si="3"/>
        <v>177967</v>
      </c>
      <c r="Q70" s="35">
        <f t="shared" si="3"/>
        <v>32126077</v>
      </c>
      <c r="R70" s="24">
        <f t="shared" si="3"/>
        <v>11047713</v>
      </c>
      <c r="S70" s="24">
        <f t="shared" si="3"/>
        <v>1844957</v>
      </c>
      <c r="T70" s="24">
        <f t="shared" si="3"/>
        <v>1896745</v>
      </c>
      <c r="U70" s="24">
        <f t="shared" si="3"/>
        <v>191454764</v>
      </c>
      <c r="V70" s="34">
        <f t="shared" si="3"/>
        <v>1733232</v>
      </c>
      <c r="W70" s="24">
        <f t="shared" si="3"/>
        <v>280390</v>
      </c>
      <c r="X70" s="24">
        <f t="shared" si="3"/>
        <v>171815</v>
      </c>
      <c r="Y70" s="35">
        <f t="shared" si="3"/>
        <v>40552054</v>
      </c>
      <c r="Z70" s="24"/>
      <c r="AA70" s="24"/>
      <c r="AB70" s="24"/>
      <c r="AC70" s="24"/>
      <c r="AD70" s="34">
        <f t="shared" si="1"/>
        <v>21553988</v>
      </c>
      <c r="AE70" s="24">
        <f t="shared" si="1"/>
        <v>4284688</v>
      </c>
      <c r="AF70" s="24">
        <f t="shared" si="1"/>
        <v>4399470</v>
      </c>
      <c r="AG70" s="35">
        <f t="shared" si="1"/>
        <v>511129000</v>
      </c>
    </row>
    <row r="71" spans="1:40">
      <c r="A71" s="1" t="s">
        <v>59</v>
      </c>
      <c r="B71" s="34">
        <f t="shared" ref="B71:Y71" si="4">SUM(B13:B16)</f>
        <v>21858442</v>
      </c>
      <c r="C71" s="24">
        <f t="shared" si="4"/>
        <v>4154710</v>
      </c>
      <c r="D71" s="24">
        <f t="shared" si="4"/>
        <v>4216729</v>
      </c>
      <c r="E71" s="24">
        <f t="shared" si="4"/>
        <v>675423679</v>
      </c>
      <c r="F71" s="34">
        <f t="shared" si="4"/>
        <v>11737414</v>
      </c>
      <c r="G71" s="24">
        <f t="shared" si="4"/>
        <v>1748282</v>
      </c>
      <c r="H71" s="24">
        <f t="shared" si="4"/>
        <v>1763073</v>
      </c>
      <c r="I71" s="35">
        <f t="shared" si="4"/>
        <v>227475402</v>
      </c>
      <c r="J71" s="24">
        <f t="shared" si="4"/>
        <v>3239139</v>
      </c>
      <c r="K71" s="24">
        <f t="shared" si="4"/>
        <v>833386</v>
      </c>
      <c r="L71" s="24">
        <f t="shared" si="4"/>
        <v>527520</v>
      </c>
      <c r="M71" s="24">
        <f t="shared" si="4"/>
        <v>59435364</v>
      </c>
      <c r="N71" s="34">
        <f t="shared" si="4"/>
        <v>1254478</v>
      </c>
      <c r="O71" s="24">
        <f t="shared" si="4"/>
        <v>236020</v>
      </c>
      <c r="P71" s="24">
        <f t="shared" si="4"/>
        <v>170904</v>
      </c>
      <c r="Q71" s="35">
        <f t="shared" si="4"/>
        <v>32830970</v>
      </c>
      <c r="R71" s="24">
        <f t="shared" si="4"/>
        <v>11244709</v>
      </c>
      <c r="S71" s="24">
        <f t="shared" si="4"/>
        <v>1953722</v>
      </c>
      <c r="T71" s="24">
        <f t="shared" si="4"/>
        <v>1998124</v>
      </c>
      <c r="U71" s="24">
        <f t="shared" si="4"/>
        <v>193551759</v>
      </c>
      <c r="V71" s="34">
        <f t="shared" si="4"/>
        <v>1716789</v>
      </c>
      <c r="W71" s="24">
        <f t="shared" si="4"/>
        <v>352325</v>
      </c>
      <c r="X71" s="24">
        <f t="shared" si="4"/>
        <v>265601</v>
      </c>
      <c r="Y71" s="35">
        <f t="shared" si="4"/>
        <v>40284628</v>
      </c>
      <c r="Z71" s="24"/>
      <c r="AA71" s="24"/>
      <c r="AB71" s="24"/>
      <c r="AC71" s="24"/>
      <c r="AD71" s="34">
        <f t="shared" si="1"/>
        <v>21935122</v>
      </c>
      <c r="AE71" s="24">
        <f t="shared" si="1"/>
        <v>4409890</v>
      </c>
      <c r="AF71" s="24">
        <f t="shared" si="1"/>
        <v>4536226</v>
      </c>
      <c r="AG71" s="35">
        <f t="shared" si="1"/>
        <v>514272000</v>
      </c>
    </row>
    <row r="72" spans="1:40">
      <c r="A72" s="1" t="s">
        <v>60</v>
      </c>
      <c r="B72" s="34">
        <f t="shared" ref="B72:Y72" si="5">SUM(B14:B17)</f>
        <v>21988621</v>
      </c>
      <c r="C72" s="24">
        <f t="shared" si="5"/>
        <v>4067090</v>
      </c>
      <c r="D72" s="24">
        <f t="shared" si="5"/>
        <v>4141254</v>
      </c>
      <c r="E72" s="24">
        <f t="shared" si="5"/>
        <v>681360301</v>
      </c>
      <c r="F72" s="34">
        <f t="shared" si="5"/>
        <v>11788439</v>
      </c>
      <c r="G72" s="24">
        <f t="shared" si="5"/>
        <v>1684763</v>
      </c>
      <c r="H72" s="24">
        <f t="shared" si="5"/>
        <v>1701498</v>
      </c>
      <c r="I72" s="35">
        <f t="shared" si="5"/>
        <v>229240586</v>
      </c>
      <c r="J72" s="24">
        <f t="shared" si="5"/>
        <v>3249007</v>
      </c>
      <c r="K72" s="24">
        <f t="shared" si="5"/>
        <v>789365</v>
      </c>
      <c r="L72" s="24">
        <f t="shared" si="5"/>
        <v>486115</v>
      </c>
      <c r="M72" s="24">
        <f t="shared" si="5"/>
        <v>60295947</v>
      </c>
      <c r="N72" s="34">
        <f t="shared" si="5"/>
        <v>1282885</v>
      </c>
      <c r="O72" s="24">
        <f t="shared" si="5"/>
        <v>237323</v>
      </c>
      <c r="P72" s="24">
        <f t="shared" si="5"/>
        <v>160438</v>
      </c>
      <c r="Q72" s="35">
        <f t="shared" si="5"/>
        <v>34078203</v>
      </c>
      <c r="R72" s="24">
        <f t="shared" si="5"/>
        <v>11196040</v>
      </c>
      <c r="S72" s="24">
        <f t="shared" si="5"/>
        <v>1965376</v>
      </c>
      <c r="T72" s="24">
        <f t="shared" si="5"/>
        <v>1909520</v>
      </c>
      <c r="U72" s="24">
        <f t="shared" si="5"/>
        <v>192989554</v>
      </c>
      <c r="V72" s="34">
        <f t="shared" si="5"/>
        <v>1698383</v>
      </c>
      <c r="W72" s="24">
        <f t="shared" si="5"/>
        <v>353606</v>
      </c>
      <c r="X72" s="24">
        <f t="shared" si="5"/>
        <v>274722</v>
      </c>
      <c r="Y72" s="35">
        <f t="shared" si="5"/>
        <v>39217965</v>
      </c>
      <c r="Z72" s="24"/>
      <c r="AA72" s="24"/>
      <c r="AB72" s="24"/>
      <c r="AC72" s="24"/>
      <c r="AD72" s="34">
        <f t="shared" si="1"/>
        <v>22281832</v>
      </c>
      <c r="AE72" s="24">
        <f t="shared" si="1"/>
        <v>4535706</v>
      </c>
      <c r="AF72" s="24">
        <f t="shared" si="1"/>
        <v>4675607</v>
      </c>
      <c r="AG72" s="35">
        <f t="shared" si="1"/>
        <v>521852000</v>
      </c>
    </row>
    <row r="73" spans="1:40">
      <c r="A73" s="1" t="s">
        <v>61</v>
      </c>
      <c r="B73" s="34">
        <f t="shared" ref="B73:Y73" si="6">SUM(B15:B18)</f>
        <v>22369842</v>
      </c>
      <c r="C73" s="24">
        <f t="shared" si="6"/>
        <v>4098609</v>
      </c>
      <c r="D73" s="24">
        <f t="shared" si="6"/>
        <v>4165631</v>
      </c>
      <c r="E73" s="24">
        <f t="shared" si="6"/>
        <v>695633514</v>
      </c>
      <c r="F73" s="34">
        <f t="shared" si="6"/>
        <v>11964554</v>
      </c>
      <c r="G73" s="24">
        <f t="shared" si="6"/>
        <v>1695980</v>
      </c>
      <c r="H73" s="24">
        <f t="shared" si="6"/>
        <v>1707846</v>
      </c>
      <c r="I73" s="35">
        <f t="shared" si="6"/>
        <v>235386364</v>
      </c>
      <c r="J73" s="24">
        <f t="shared" si="6"/>
        <v>3313446</v>
      </c>
      <c r="K73" s="24">
        <f t="shared" si="6"/>
        <v>803816</v>
      </c>
      <c r="L73" s="24">
        <f t="shared" si="6"/>
        <v>476999</v>
      </c>
      <c r="M73" s="24">
        <f t="shared" si="6"/>
        <v>62020327</v>
      </c>
      <c r="N73" s="34">
        <f t="shared" si="6"/>
        <v>1314555</v>
      </c>
      <c r="O73" s="24">
        <f t="shared" si="6"/>
        <v>242986</v>
      </c>
      <c r="P73" s="24">
        <f t="shared" si="6"/>
        <v>163820</v>
      </c>
      <c r="Q73" s="35">
        <f t="shared" si="6"/>
        <v>34929004</v>
      </c>
      <c r="R73" s="24">
        <f t="shared" si="6"/>
        <v>11436049</v>
      </c>
      <c r="S73" s="24">
        <f t="shared" si="6"/>
        <v>2077937</v>
      </c>
      <c r="T73" s="24">
        <f t="shared" si="6"/>
        <v>2022794</v>
      </c>
      <c r="U73" s="24">
        <f t="shared" si="6"/>
        <v>197609688</v>
      </c>
      <c r="V73" s="34">
        <f t="shared" si="6"/>
        <v>1711549</v>
      </c>
      <c r="W73" s="24">
        <f t="shared" si="6"/>
        <v>353158</v>
      </c>
      <c r="X73" s="24">
        <f t="shared" si="6"/>
        <v>44091</v>
      </c>
      <c r="Y73" s="35">
        <f t="shared" si="6"/>
        <v>39013304</v>
      </c>
      <c r="Z73" s="24"/>
      <c r="AA73" s="24"/>
      <c r="AB73" s="24"/>
      <c r="AC73" s="24"/>
      <c r="AD73" s="34">
        <f t="shared" si="1"/>
        <v>22827501</v>
      </c>
      <c r="AE73" s="24">
        <f t="shared" si="1"/>
        <v>4717309</v>
      </c>
      <c r="AF73" s="24">
        <f t="shared" si="1"/>
        <v>4875575</v>
      </c>
      <c r="AG73" s="35">
        <f t="shared" si="1"/>
        <v>530201000</v>
      </c>
    </row>
    <row r="74" spans="1:40">
      <c r="A74" s="1" t="s">
        <v>75</v>
      </c>
      <c r="B74" s="34">
        <f t="shared" ref="B74:Y74" si="7">SUM(B16:B19)</f>
        <v>22610099</v>
      </c>
      <c r="C74" s="24">
        <f t="shared" si="7"/>
        <v>4169503</v>
      </c>
      <c r="D74" s="24">
        <f t="shared" si="7"/>
        <v>4249656</v>
      </c>
      <c r="E74" s="24">
        <f t="shared" si="7"/>
        <v>699165225</v>
      </c>
      <c r="F74" s="34">
        <f t="shared" si="7"/>
        <v>12184810</v>
      </c>
      <c r="G74" s="24">
        <f t="shared" si="7"/>
        <v>1752119</v>
      </c>
      <c r="H74" s="24">
        <f t="shared" si="7"/>
        <v>1759313</v>
      </c>
      <c r="I74" s="35">
        <f t="shared" si="7"/>
        <v>240276768</v>
      </c>
      <c r="J74" s="24">
        <f t="shared" si="7"/>
        <v>3403492</v>
      </c>
      <c r="K74" s="24">
        <f t="shared" si="7"/>
        <v>832224</v>
      </c>
      <c r="L74" s="24">
        <f t="shared" si="7"/>
        <v>509598</v>
      </c>
      <c r="M74" s="24">
        <f t="shared" si="7"/>
        <v>63966239</v>
      </c>
      <c r="N74" s="34">
        <f t="shared" si="7"/>
        <v>1343201</v>
      </c>
      <c r="O74" s="24">
        <f t="shared" si="7"/>
        <v>249479</v>
      </c>
      <c r="P74" s="24">
        <f t="shared" si="7"/>
        <v>165864</v>
      </c>
      <c r="Q74" s="35">
        <f t="shared" si="7"/>
        <v>35350424</v>
      </c>
      <c r="R74" s="24">
        <f t="shared" si="7"/>
        <v>11634801</v>
      </c>
      <c r="S74" s="24">
        <f t="shared" si="7"/>
        <v>2146546</v>
      </c>
      <c r="T74" s="24">
        <f t="shared" si="7"/>
        <v>2092207</v>
      </c>
      <c r="U74" s="24">
        <f t="shared" si="7"/>
        <v>202004911</v>
      </c>
      <c r="V74" s="34">
        <f t="shared" si="7"/>
        <v>1742905</v>
      </c>
      <c r="W74" s="24">
        <f t="shared" si="7"/>
        <v>370364</v>
      </c>
      <c r="X74" s="24">
        <f t="shared" si="7"/>
        <v>64027</v>
      </c>
      <c r="Y74" s="35">
        <f t="shared" si="7"/>
        <v>39362541</v>
      </c>
      <c r="Z74" s="24"/>
      <c r="AA74" s="24"/>
      <c r="AB74" s="24"/>
      <c r="AC74" s="24"/>
      <c r="AD74" s="34">
        <f t="shared" si="1"/>
        <v>23436061</v>
      </c>
      <c r="AE74" s="24">
        <f t="shared" si="1"/>
        <v>4929306</v>
      </c>
      <c r="AF74" s="24">
        <f t="shared" si="1"/>
        <v>5104558</v>
      </c>
      <c r="AG74" s="35">
        <f t="shared" si="1"/>
        <v>539523000</v>
      </c>
    </row>
    <row r="75" spans="1:40">
      <c r="A75" s="1" t="s">
        <v>62</v>
      </c>
      <c r="B75" s="34">
        <f t="shared" ref="B75:Y75" si="8">SUM(B17:B20)</f>
        <v>23035998</v>
      </c>
      <c r="C75" s="24">
        <f t="shared" si="8"/>
        <v>4261440</v>
      </c>
      <c r="D75" s="24">
        <f t="shared" si="8"/>
        <v>4350475</v>
      </c>
      <c r="E75" s="24">
        <f t="shared" si="8"/>
        <v>711320806</v>
      </c>
      <c r="F75" s="34">
        <f t="shared" si="8"/>
        <v>12342404</v>
      </c>
      <c r="G75" s="24">
        <f t="shared" si="8"/>
        <v>1834932</v>
      </c>
      <c r="H75" s="24">
        <f t="shared" si="8"/>
        <v>1862316</v>
      </c>
      <c r="I75" s="35">
        <f t="shared" si="8"/>
        <v>244318512</v>
      </c>
      <c r="J75" s="24">
        <f t="shared" si="8"/>
        <v>3550315</v>
      </c>
      <c r="K75" s="24">
        <f t="shared" si="8"/>
        <v>839269</v>
      </c>
      <c r="L75" s="24">
        <f t="shared" si="8"/>
        <v>511035</v>
      </c>
      <c r="M75" s="24">
        <f t="shared" si="8"/>
        <v>66363994</v>
      </c>
      <c r="N75" s="34">
        <f t="shared" si="8"/>
        <v>1359384</v>
      </c>
      <c r="O75" s="24">
        <f t="shared" si="8"/>
        <v>259158</v>
      </c>
      <c r="P75" s="24">
        <f t="shared" si="8"/>
        <v>173100</v>
      </c>
      <c r="Q75" s="35">
        <f t="shared" si="8"/>
        <v>35508797</v>
      </c>
      <c r="R75" s="24">
        <f t="shared" si="8"/>
        <v>11624231</v>
      </c>
      <c r="S75" s="24">
        <f t="shared" si="8"/>
        <v>2135090</v>
      </c>
      <c r="T75" s="24">
        <f t="shared" si="8"/>
        <v>2077112</v>
      </c>
      <c r="U75" s="24">
        <f t="shared" si="8"/>
        <v>205019983</v>
      </c>
      <c r="V75" s="34">
        <f t="shared" si="8"/>
        <v>1771298</v>
      </c>
      <c r="W75" s="24">
        <f t="shared" si="8"/>
        <v>390782</v>
      </c>
      <c r="X75" s="24">
        <f t="shared" si="8"/>
        <v>88261</v>
      </c>
      <c r="Y75" s="35">
        <f t="shared" si="8"/>
        <v>39856431</v>
      </c>
      <c r="Z75" s="24"/>
      <c r="AA75" s="24"/>
      <c r="AB75" s="24"/>
      <c r="AC75" s="24"/>
      <c r="AD75" s="34">
        <f t="shared" si="1"/>
        <v>23963043</v>
      </c>
      <c r="AE75" s="24">
        <f t="shared" si="1"/>
        <v>5196281</v>
      </c>
      <c r="AF75" s="24">
        <f t="shared" si="1"/>
        <v>5415021</v>
      </c>
      <c r="AG75" s="35">
        <f t="shared" si="1"/>
        <v>549629000</v>
      </c>
    </row>
    <row r="76" spans="1:40">
      <c r="A76" s="1" t="s">
        <v>63</v>
      </c>
      <c r="B76" s="34">
        <f t="shared" ref="B76:Y76" si="9">SUM(B18:B21)</f>
        <v>23189898</v>
      </c>
      <c r="C76" s="24">
        <f t="shared" si="9"/>
        <v>4649807</v>
      </c>
      <c r="D76" s="24">
        <f t="shared" si="9"/>
        <v>4768793</v>
      </c>
      <c r="E76" s="24">
        <f t="shared" si="9"/>
        <v>720262650</v>
      </c>
      <c r="F76" s="34">
        <f t="shared" si="9"/>
        <v>12355023</v>
      </c>
      <c r="G76" s="24">
        <f t="shared" si="9"/>
        <v>1855084</v>
      </c>
      <c r="H76" s="24">
        <f t="shared" si="9"/>
        <v>1896372</v>
      </c>
      <c r="I76" s="35">
        <f t="shared" si="9"/>
        <v>245543835</v>
      </c>
      <c r="J76" s="24">
        <f t="shared" si="9"/>
        <v>3611569</v>
      </c>
      <c r="K76" s="24">
        <f t="shared" si="9"/>
        <v>879422</v>
      </c>
      <c r="L76" s="24">
        <f t="shared" si="9"/>
        <v>541015</v>
      </c>
      <c r="M76" s="24">
        <f t="shared" si="9"/>
        <v>67120879</v>
      </c>
      <c r="N76" s="34">
        <f t="shared" si="9"/>
        <v>1346914</v>
      </c>
      <c r="O76" s="24">
        <f t="shared" si="9"/>
        <v>266694</v>
      </c>
      <c r="P76" s="24">
        <f t="shared" si="9"/>
        <v>183686</v>
      </c>
      <c r="Q76" s="35">
        <f t="shared" si="9"/>
        <v>34883510</v>
      </c>
      <c r="R76" s="24">
        <f t="shared" si="9"/>
        <v>11502698</v>
      </c>
      <c r="S76" s="24">
        <f t="shared" si="9"/>
        <v>2082725</v>
      </c>
      <c r="T76" s="24">
        <f t="shared" si="9"/>
        <v>2012069</v>
      </c>
      <c r="U76" s="24">
        <f t="shared" si="9"/>
        <v>206739300</v>
      </c>
      <c r="V76" s="34">
        <f t="shared" si="9"/>
        <v>1780875</v>
      </c>
      <c r="W76" s="24">
        <f t="shared" si="9"/>
        <v>413054</v>
      </c>
      <c r="X76" s="24">
        <f t="shared" si="9"/>
        <v>112959</v>
      </c>
      <c r="Y76" s="35">
        <f t="shared" si="9"/>
        <v>40104464</v>
      </c>
      <c r="Z76" s="24"/>
      <c r="AA76" s="24"/>
      <c r="AB76" s="24"/>
      <c r="AC76" s="24"/>
      <c r="AD76" s="34">
        <f t="shared" si="1"/>
        <v>23942721</v>
      </c>
      <c r="AE76" s="24">
        <f t="shared" si="1"/>
        <v>5305818</v>
      </c>
      <c r="AF76" s="24">
        <f t="shared" si="1"/>
        <v>5524039</v>
      </c>
      <c r="AG76" s="35">
        <f t="shared" si="1"/>
        <v>544496000</v>
      </c>
    </row>
    <row r="77" spans="1:40">
      <c r="A77" s="1" t="s">
        <v>64</v>
      </c>
      <c r="B77" s="34">
        <f t="shared" ref="B77:Y77" si="10">SUM(B19:B22)</f>
        <v>22816952</v>
      </c>
      <c r="C77" s="24">
        <f t="shared" si="10"/>
        <v>4686951</v>
      </c>
      <c r="D77" s="24">
        <f t="shared" si="10"/>
        <v>4815673</v>
      </c>
      <c r="E77" s="24">
        <f t="shared" si="10"/>
        <v>717021048</v>
      </c>
      <c r="F77" s="34">
        <f t="shared" si="10"/>
        <v>12173089</v>
      </c>
      <c r="G77" s="24">
        <f t="shared" si="10"/>
        <v>1794578</v>
      </c>
      <c r="H77" s="24">
        <f t="shared" si="10"/>
        <v>1865085</v>
      </c>
      <c r="I77" s="35">
        <f t="shared" si="10"/>
        <v>241997642</v>
      </c>
      <c r="J77" s="24">
        <f t="shared" si="10"/>
        <v>3564977</v>
      </c>
      <c r="K77" s="24">
        <f t="shared" si="10"/>
        <v>883516</v>
      </c>
      <c r="L77" s="24">
        <f t="shared" si="10"/>
        <v>522411</v>
      </c>
      <c r="M77" s="24">
        <f t="shared" si="10"/>
        <v>65737679</v>
      </c>
      <c r="N77" s="34">
        <f t="shared" si="10"/>
        <v>1288616</v>
      </c>
      <c r="O77" s="24">
        <f t="shared" si="10"/>
        <v>248005</v>
      </c>
      <c r="P77" s="24">
        <f t="shared" si="10"/>
        <v>165235</v>
      </c>
      <c r="Q77" s="35">
        <f t="shared" si="10"/>
        <v>33268452</v>
      </c>
      <c r="R77" s="24">
        <f t="shared" si="10"/>
        <v>11173415</v>
      </c>
      <c r="S77" s="24">
        <f t="shared" si="10"/>
        <v>1938643</v>
      </c>
      <c r="T77" s="24">
        <f t="shared" si="10"/>
        <v>1869200</v>
      </c>
      <c r="U77" s="24">
        <f t="shared" si="10"/>
        <v>205007496</v>
      </c>
      <c r="V77" s="34">
        <f t="shared" si="10"/>
        <v>1730195</v>
      </c>
      <c r="W77" s="24">
        <f t="shared" si="10"/>
        <v>401085</v>
      </c>
      <c r="X77" s="24">
        <f t="shared" si="10"/>
        <v>334699</v>
      </c>
      <c r="Y77" s="35">
        <f t="shared" si="10"/>
        <v>39153995</v>
      </c>
      <c r="Z77" s="24"/>
      <c r="AA77" s="24"/>
      <c r="AB77" s="24"/>
      <c r="AC77" s="24"/>
      <c r="AD77" s="34">
        <f t="shared" si="1"/>
        <v>23360023</v>
      </c>
      <c r="AE77" s="24">
        <f t="shared" si="1"/>
        <v>5122278</v>
      </c>
      <c r="AF77" s="24">
        <f t="shared" si="1"/>
        <v>5487813</v>
      </c>
      <c r="AG77" s="35">
        <f t="shared" si="1"/>
        <v>524992000</v>
      </c>
    </row>
    <row r="78" spans="1:40">
      <c r="A78" s="1" t="s">
        <v>77</v>
      </c>
      <c r="B78" s="34">
        <f t="shared" ref="B78:Y78" si="11">SUM(B20:B23)</f>
        <v>22539514</v>
      </c>
      <c r="C78" s="24">
        <f t="shared" si="11"/>
        <v>4831225</v>
      </c>
      <c r="D78" s="24">
        <f t="shared" si="11"/>
        <v>4954468</v>
      </c>
      <c r="E78" s="24">
        <f t="shared" si="11"/>
        <v>717473965</v>
      </c>
      <c r="F78" s="34">
        <f t="shared" si="11"/>
        <v>11896076</v>
      </c>
      <c r="G78" s="24">
        <f t="shared" si="11"/>
        <v>1737125</v>
      </c>
      <c r="H78" s="24">
        <f t="shared" si="11"/>
        <v>1819886</v>
      </c>
      <c r="I78" s="35">
        <f t="shared" si="11"/>
        <v>237528738.84027031</v>
      </c>
      <c r="J78" s="24">
        <f t="shared" si="11"/>
        <v>3485068</v>
      </c>
      <c r="K78" s="24">
        <f t="shared" si="11"/>
        <v>885057</v>
      </c>
      <c r="L78" s="24">
        <f t="shared" si="11"/>
        <v>512913</v>
      </c>
      <c r="M78" s="24">
        <f t="shared" si="11"/>
        <v>64135065</v>
      </c>
      <c r="N78" s="34">
        <f t="shared" si="11"/>
        <v>1261308.1336300001</v>
      </c>
      <c r="O78" s="24">
        <f t="shared" si="11"/>
        <v>249034.07763000001</v>
      </c>
      <c r="P78" s="24">
        <f t="shared" si="11"/>
        <v>163785.95912000001</v>
      </c>
      <c r="Q78" s="35">
        <f t="shared" si="11"/>
        <v>33078578</v>
      </c>
      <c r="R78" s="24">
        <f t="shared" si="11"/>
        <v>10863743</v>
      </c>
      <c r="S78" s="24">
        <f t="shared" si="11"/>
        <v>1837044</v>
      </c>
      <c r="T78" s="24">
        <f t="shared" si="11"/>
        <v>1752292</v>
      </c>
      <c r="U78" s="24">
        <f t="shared" si="11"/>
        <v>203539584</v>
      </c>
      <c r="V78" s="34">
        <f t="shared" si="11"/>
        <v>1685030</v>
      </c>
      <c r="W78" s="24">
        <f t="shared" si="11"/>
        <v>365457</v>
      </c>
      <c r="X78" s="24">
        <f t="shared" si="11"/>
        <v>360254</v>
      </c>
      <c r="Y78" s="35">
        <f t="shared" si="11"/>
        <v>38671947</v>
      </c>
      <c r="Z78" s="24"/>
      <c r="AA78" s="24"/>
      <c r="AB78" s="24"/>
      <c r="AC78" s="24"/>
      <c r="AD78" s="34">
        <f t="shared" si="1"/>
        <v>22747501</v>
      </c>
      <c r="AE78" s="24">
        <f t="shared" si="1"/>
        <v>5082416</v>
      </c>
      <c r="AF78" s="24">
        <f t="shared" si="1"/>
        <v>5467386</v>
      </c>
      <c r="AG78" s="35">
        <f t="shared" si="1"/>
        <v>510035000</v>
      </c>
    </row>
    <row r="79" spans="1:40">
      <c r="A79" s="1" t="s">
        <v>65</v>
      </c>
      <c r="B79" s="34">
        <f t="shared" ref="B79:Y79" si="12">SUM(B21:B24)</f>
        <v>21765579</v>
      </c>
      <c r="C79" s="24">
        <f t="shared" si="12"/>
        <v>4736517</v>
      </c>
      <c r="D79" s="24">
        <f t="shared" si="12"/>
        <v>4876170</v>
      </c>
      <c r="E79" s="24">
        <f t="shared" si="12"/>
        <v>701762931</v>
      </c>
      <c r="F79" s="34">
        <f t="shared" si="12"/>
        <v>11486251</v>
      </c>
      <c r="G79" s="24">
        <f t="shared" si="12"/>
        <v>1615045</v>
      </c>
      <c r="H79" s="24">
        <f t="shared" si="12"/>
        <v>1782439</v>
      </c>
      <c r="I79" s="35">
        <f t="shared" si="12"/>
        <v>229474771.5702703</v>
      </c>
      <c r="J79" s="24">
        <f t="shared" si="12"/>
        <v>3302304</v>
      </c>
      <c r="K79" s="24">
        <f t="shared" si="12"/>
        <v>838782</v>
      </c>
      <c r="L79" s="24">
        <f t="shared" si="12"/>
        <v>455625</v>
      </c>
      <c r="M79" s="24">
        <f t="shared" si="12"/>
        <v>60956286.857000001</v>
      </c>
      <c r="N79" s="34">
        <f t="shared" si="12"/>
        <v>1235369.1336300001</v>
      </c>
      <c r="O79" s="24">
        <f t="shared" si="12"/>
        <v>257662.07763000001</v>
      </c>
      <c r="P79" s="24">
        <f t="shared" si="12"/>
        <v>164592.95912000001</v>
      </c>
      <c r="Q79" s="35">
        <f t="shared" si="12"/>
        <v>33204991</v>
      </c>
      <c r="R79" s="24">
        <f t="shared" si="12"/>
        <v>10511180</v>
      </c>
      <c r="S79" s="24">
        <f t="shared" si="12"/>
        <v>1710790</v>
      </c>
      <c r="T79" s="24">
        <f t="shared" si="12"/>
        <v>1628202</v>
      </c>
      <c r="U79" s="24">
        <f t="shared" si="12"/>
        <v>199724819</v>
      </c>
      <c r="V79" s="34">
        <f t="shared" si="12"/>
        <v>1603326</v>
      </c>
      <c r="W79" s="24">
        <f t="shared" si="12"/>
        <v>353127</v>
      </c>
      <c r="X79" s="24">
        <f t="shared" si="12"/>
        <v>355768</v>
      </c>
      <c r="Y79" s="35">
        <f t="shared" si="12"/>
        <v>37360860</v>
      </c>
      <c r="Z79" s="24"/>
      <c r="AA79" s="24"/>
      <c r="AB79" s="24"/>
      <c r="AC79" s="24"/>
      <c r="AD79" s="34">
        <f t="shared" si="1"/>
        <v>21805210</v>
      </c>
      <c r="AE79" s="24">
        <f t="shared" si="1"/>
        <v>4842445</v>
      </c>
      <c r="AF79" s="24">
        <f t="shared" si="1"/>
        <v>5199880</v>
      </c>
      <c r="AG79" s="35">
        <f t="shared" si="1"/>
        <v>485035000</v>
      </c>
    </row>
    <row r="80" spans="1:40">
      <c r="A80" s="1" t="s">
        <v>66</v>
      </c>
      <c r="B80" s="34">
        <f t="shared" ref="B80:Y80" si="13">SUM(B22:B25)</f>
        <v>20931267</v>
      </c>
      <c r="C80" s="24">
        <f t="shared" si="13"/>
        <v>4454623</v>
      </c>
      <c r="D80" s="24">
        <f t="shared" si="13"/>
        <v>4584785</v>
      </c>
      <c r="E80" s="24">
        <f t="shared" si="13"/>
        <v>671967893</v>
      </c>
      <c r="F80" s="34">
        <f t="shared" si="13"/>
        <v>11079971</v>
      </c>
      <c r="G80" s="24">
        <f t="shared" si="13"/>
        <v>1527592</v>
      </c>
      <c r="H80" s="24">
        <f t="shared" si="13"/>
        <v>1722654</v>
      </c>
      <c r="I80" s="35">
        <f t="shared" si="13"/>
        <v>221982217.5702703</v>
      </c>
      <c r="J80" s="24">
        <f t="shared" si="13"/>
        <v>3159866</v>
      </c>
      <c r="K80" s="24">
        <f t="shared" si="13"/>
        <v>793853</v>
      </c>
      <c r="L80" s="24">
        <f t="shared" si="13"/>
        <v>399478</v>
      </c>
      <c r="M80" s="24">
        <f t="shared" si="13"/>
        <v>57864648.857000001</v>
      </c>
      <c r="N80" s="34">
        <f t="shared" si="13"/>
        <v>1214951.1336300001</v>
      </c>
      <c r="O80" s="24">
        <f t="shared" si="13"/>
        <v>251775.07763000001</v>
      </c>
      <c r="P80" s="24">
        <f t="shared" si="13"/>
        <v>158094.95912000001</v>
      </c>
      <c r="Q80" s="35">
        <f t="shared" si="13"/>
        <v>32536556</v>
      </c>
      <c r="R80" s="24">
        <f t="shared" si="13"/>
        <v>10364417</v>
      </c>
      <c r="S80" s="24">
        <f t="shared" si="13"/>
        <v>1801350.6</v>
      </c>
      <c r="T80" s="24">
        <f t="shared" si="13"/>
        <v>1724600</v>
      </c>
      <c r="U80" s="24">
        <f t="shared" si="13"/>
        <v>197005359</v>
      </c>
      <c r="V80" s="34">
        <f t="shared" si="13"/>
        <v>1514791</v>
      </c>
      <c r="W80" s="24">
        <f t="shared" si="13"/>
        <v>320227</v>
      </c>
      <c r="X80" s="24">
        <f t="shared" si="13"/>
        <v>316241</v>
      </c>
      <c r="Y80" s="35">
        <f t="shared" si="13"/>
        <v>36039533</v>
      </c>
      <c r="Z80" s="24"/>
      <c r="AA80" s="24"/>
      <c r="AB80" s="24"/>
      <c r="AC80" s="24"/>
      <c r="AD80" s="34">
        <f t="shared" si="1"/>
        <v>21023327</v>
      </c>
      <c r="AE80" s="24">
        <f t="shared" si="1"/>
        <v>4646428</v>
      </c>
      <c r="AF80" s="24">
        <f t="shared" si="1"/>
        <v>5058637</v>
      </c>
      <c r="AG80" s="35">
        <f t="shared" si="1"/>
        <v>463288000</v>
      </c>
    </row>
    <row r="81" spans="1:33">
      <c r="A81" s="1" t="s">
        <v>67</v>
      </c>
      <c r="B81" s="34">
        <f t="shared" ref="B81:Y81" si="14">SUM(B23:B26)</f>
        <v>20148494</v>
      </c>
      <c r="C81" s="24">
        <f t="shared" si="14"/>
        <v>4304630</v>
      </c>
      <c r="D81" s="24">
        <f t="shared" si="14"/>
        <v>4447740</v>
      </c>
      <c r="E81" s="24">
        <f t="shared" si="14"/>
        <v>639723703</v>
      </c>
      <c r="F81" s="34">
        <f t="shared" si="14"/>
        <v>10732350</v>
      </c>
      <c r="G81" s="24">
        <f t="shared" si="14"/>
        <v>1500350</v>
      </c>
      <c r="H81" s="24">
        <f t="shared" si="14"/>
        <v>1685762</v>
      </c>
      <c r="I81" s="35">
        <f t="shared" si="14"/>
        <v>213844768.5702703</v>
      </c>
      <c r="J81" s="24">
        <f t="shared" si="14"/>
        <v>3049697</v>
      </c>
      <c r="K81" s="24">
        <f t="shared" si="14"/>
        <v>740983</v>
      </c>
      <c r="L81" s="24">
        <f t="shared" si="14"/>
        <v>348950</v>
      </c>
      <c r="M81" s="24">
        <f t="shared" si="14"/>
        <v>55827115.857000001</v>
      </c>
      <c r="N81" s="34">
        <f t="shared" si="14"/>
        <v>1215731.6827100001</v>
      </c>
      <c r="O81" s="24">
        <f t="shared" si="14"/>
        <v>272132.81967000006</v>
      </c>
      <c r="P81" s="24">
        <f t="shared" si="14"/>
        <v>178033.84802000003</v>
      </c>
      <c r="Q81" s="35">
        <f t="shared" si="14"/>
        <v>32757112</v>
      </c>
      <c r="R81" s="24">
        <f t="shared" si="14"/>
        <v>10104692</v>
      </c>
      <c r="S81" s="24">
        <f t="shared" si="14"/>
        <v>1777834</v>
      </c>
      <c r="T81" s="24">
        <f t="shared" si="14"/>
        <v>1686271</v>
      </c>
      <c r="U81" s="24">
        <f t="shared" si="14"/>
        <v>192939544</v>
      </c>
      <c r="V81" s="34">
        <f t="shared" si="14"/>
        <v>1437386</v>
      </c>
      <c r="W81" s="24">
        <f t="shared" si="14"/>
        <v>302083</v>
      </c>
      <c r="X81" s="24">
        <f t="shared" si="14"/>
        <v>294637</v>
      </c>
      <c r="Y81" s="35">
        <f t="shared" si="14"/>
        <v>34487172</v>
      </c>
      <c r="Z81" s="24"/>
      <c r="AA81" s="24"/>
      <c r="AB81" s="24"/>
      <c r="AC81" s="24"/>
      <c r="AD81" s="34">
        <f t="shared" si="1"/>
        <v>20367797</v>
      </c>
      <c r="AE81" s="24">
        <f t="shared" si="1"/>
        <v>4491371</v>
      </c>
      <c r="AF81" s="24">
        <f t="shared" si="1"/>
        <v>4866256</v>
      </c>
      <c r="AG81" s="35">
        <f t="shared" si="1"/>
        <v>449904000</v>
      </c>
    </row>
    <row r="82" spans="1:33">
      <c r="A82" s="1" t="s">
        <v>78</v>
      </c>
      <c r="B82" s="34">
        <f t="shared" ref="B82:Y82" si="15">SUM(B24:B27)</f>
        <v>19730275</v>
      </c>
      <c r="C82" s="24">
        <f t="shared" si="15"/>
        <v>4148537.3539100001</v>
      </c>
      <c r="D82" s="24">
        <f t="shared" si="15"/>
        <v>4317921.3539100001</v>
      </c>
      <c r="E82" s="24">
        <f t="shared" si="15"/>
        <v>630371682</v>
      </c>
      <c r="F82" s="34">
        <f t="shared" si="15"/>
        <v>10508253</v>
      </c>
      <c r="G82" s="24">
        <f t="shared" si="15"/>
        <v>1494478</v>
      </c>
      <c r="H82" s="24">
        <f t="shared" si="15"/>
        <v>1687504</v>
      </c>
      <c r="I82" s="35">
        <f t="shared" si="15"/>
        <v>208959914.72999999</v>
      </c>
      <c r="J82" s="24">
        <f t="shared" si="15"/>
        <v>2985496</v>
      </c>
      <c r="K82" s="24">
        <f t="shared" si="15"/>
        <v>690979</v>
      </c>
      <c r="L82" s="24">
        <f t="shared" si="15"/>
        <v>296348</v>
      </c>
      <c r="M82" s="24">
        <f t="shared" si="15"/>
        <v>55235299.857000001</v>
      </c>
      <c r="N82" s="34">
        <f t="shared" si="15"/>
        <v>1196563</v>
      </c>
      <c r="O82" s="24">
        <f t="shared" si="15"/>
        <v>257721</v>
      </c>
      <c r="P82" s="24">
        <f t="shared" si="15"/>
        <v>166611.9</v>
      </c>
      <c r="Q82" s="35">
        <f t="shared" si="15"/>
        <v>32347135</v>
      </c>
      <c r="R82" s="24">
        <f t="shared" si="15"/>
        <v>9915668</v>
      </c>
      <c r="S82" s="24">
        <f t="shared" si="15"/>
        <v>1754595</v>
      </c>
      <c r="T82" s="24">
        <f t="shared" si="15"/>
        <v>1677603</v>
      </c>
      <c r="U82" s="24">
        <f t="shared" si="15"/>
        <v>190348257</v>
      </c>
      <c r="V82" s="34">
        <f t="shared" si="15"/>
        <v>1347192</v>
      </c>
      <c r="W82" s="24">
        <f t="shared" si="15"/>
        <v>292588</v>
      </c>
      <c r="X82" s="24">
        <f t="shared" si="15"/>
        <v>225748</v>
      </c>
      <c r="Y82" s="35">
        <f t="shared" si="15"/>
        <v>32386207</v>
      </c>
      <c r="Z82" s="24"/>
      <c r="AA82" s="24"/>
      <c r="AB82" s="24"/>
      <c r="AC82" s="24"/>
      <c r="AD82" s="34">
        <f t="shared" si="1"/>
        <v>19980112</v>
      </c>
      <c r="AE82" s="24">
        <f t="shared" si="1"/>
        <v>4333780</v>
      </c>
      <c r="AF82" s="24">
        <f t="shared" si="1"/>
        <v>4725073</v>
      </c>
      <c r="AG82" s="35">
        <f t="shared" si="1"/>
        <v>441739000</v>
      </c>
    </row>
    <row r="83" spans="1:33">
      <c r="A83" s="1" t="s">
        <v>68</v>
      </c>
      <c r="B83" s="34">
        <f t="shared" ref="B83:Y83" si="16">SUM(B25:B28)</f>
        <v>19661763</v>
      </c>
      <c r="C83" s="24">
        <f t="shared" si="16"/>
        <v>4068677.4034700003</v>
      </c>
      <c r="D83" s="24">
        <f t="shared" si="16"/>
        <v>4259113.4034700003</v>
      </c>
      <c r="E83" s="24">
        <f t="shared" si="16"/>
        <v>629392749</v>
      </c>
      <c r="F83" s="34">
        <f t="shared" si="16"/>
        <v>10770610</v>
      </c>
      <c r="G83" s="24">
        <f t="shared" si="16"/>
        <v>1590756</v>
      </c>
      <c r="H83" s="24">
        <f t="shared" si="16"/>
        <v>1814782</v>
      </c>
      <c r="I83" s="35">
        <f t="shared" si="16"/>
        <v>213437452</v>
      </c>
      <c r="J83" s="24">
        <f t="shared" si="16"/>
        <v>2986580</v>
      </c>
      <c r="K83" s="24">
        <f t="shared" si="16"/>
        <v>707646</v>
      </c>
      <c r="L83" s="24">
        <f t="shared" si="16"/>
        <v>320586</v>
      </c>
      <c r="M83" s="24">
        <f t="shared" si="16"/>
        <v>56275808</v>
      </c>
      <c r="N83" s="34">
        <f t="shared" si="16"/>
        <v>1200135</v>
      </c>
      <c r="O83" s="24">
        <f t="shared" si="16"/>
        <v>239671</v>
      </c>
      <c r="P83" s="24">
        <f t="shared" si="16"/>
        <v>156818.9</v>
      </c>
      <c r="Q83" s="35">
        <f t="shared" si="16"/>
        <v>32284639</v>
      </c>
      <c r="R83" s="24">
        <f t="shared" si="16"/>
        <v>9888266</v>
      </c>
      <c r="S83" s="24">
        <f t="shared" si="16"/>
        <v>1780821</v>
      </c>
      <c r="T83" s="24">
        <f t="shared" si="16"/>
        <v>1692126</v>
      </c>
      <c r="U83" s="24">
        <f t="shared" si="16"/>
        <v>190473282</v>
      </c>
      <c r="V83" s="34">
        <f t="shared" si="16"/>
        <v>1314277</v>
      </c>
      <c r="W83" s="24">
        <f t="shared" si="16"/>
        <v>274354</v>
      </c>
      <c r="X83" s="24">
        <f t="shared" si="16"/>
        <v>197433</v>
      </c>
      <c r="Y83" s="35">
        <f t="shared" si="16"/>
        <v>31325840</v>
      </c>
      <c r="Z83" s="24"/>
      <c r="AA83" s="24"/>
      <c r="AB83" s="24"/>
      <c r="AC83" s="24"/>
      <c r="AD83" s="34">
        <f t="shared" si="1"/>
        <v>19940431</v>
      </c>
      <c r="AE83" s="24">
        <f t="shared" si="1"/>
        <v>4334851</v>
      </c>
      <c r="AF83" s="24">
        <f t="shared" si="1"/>
        <v>4761454</v>
      </c>
      <c r="AG83" s="35">
        <f t="shared" si="1"/>
        <v>440139000</v>
      </c>
    </row>
    <row r="84" spans="1:33">
      <c r="A84" s="1" t="s">
        <v>69</v>
      </c>
      <c r="B84" s="34">
        <f t="shared" ref="B84:Y84" si="17">SUM(B26:B29)</f>
        <v>20073407</v>
      </c>
      <c r="C84" s="24">
        <f t="shared" si="17"/>
        <v>4092030.4034700003</v>
      </c>
      <c r="D84" s="24">
        <f t="shared" si="17"/>
        <v>4322067.4034700003</v>
      </c>
      <c r="E84" s="24">
        <f t="shared" si="17"/>
        <v>645589116</v>
      </c>
      <c r="F84" s="34">
        <f t="shared" si="17"/>
        <v>11023984</v>
      </c>
      <c r="G84" s="24">
        <f t="shared" si="17"/>
        <v>1641230</v>
      </c>
      <c r="H84" s="24">
        <f t="shared" si="17"/>
        <v>1857408</v>
      </c>
      <c r="I84" s="35">
        <f t="shared" si="17"/>
        <v>215672620</v>
      </c>
      <c r="J84" s="24">
        <f t="shared" si="17"/>
        <v>3049535</v>
      </c>
      <c r="K84" s="24">
        <f t="shared" si="17"/>
        <v>719280</v>
      </c>
      <c r="L84" s="24">
        <f t="shared" si="17"/>
        <v>333794</v>
      </c>
      <c r="M84" s="24">
        <f t="shared" si="17"/>
        <v>58997673</v>
      </c>
      <c r="N84" s="34">
        <f t="shared" si="17"/>
        <v>1229434</v>
      </c>
      <c r="O84" s="24">
        <f t="shared" si="17"/>
        <v>245381</v>
      </c>
      <c r="P84" s="24">
        <f t="shared" si="17"/>
        <v>166253.9</v>
      </c>
      <c r="Q84" s="35">
        <f t="shared" si="17"/>
        <v>33498376</v>
      </c>
      <c r="R84" s="24">
        <f t="shared" si="17"/>
        <v>10042585</v>
      </c>
      <c r="S84" s="24">
        <f t="shared" si="17"/>
        <v>1804739.4</v>
      </c>
      <c r="T84" s="24">
        <f t="shared" si="17"/>
        <v>1714222</v>
      </c>
      <c r="U84" s="24">
        <f t="shared" si="17"/>
        <v>193964404</v>
      </c>
      <c r="V84" s="34">
        <f t="shared" si="17"/>
        <v>1345278</v>
      </c>
      <c r="W84" s="24">
        <f t="shared" si="17"/>
        <v>295903</v>
      </c>
      <c r="X84" s="24">
        <f t="shared" si="17"/>
        <v>218982</v>
      </c>
      <c r="Y84" s="35">
        <f t="shared" si="17"/>
        <v>31964790</v>
      </c>
      <c r="Z84" s="24"/>
      <c r="AA84" s="24"/>
      <c r="AB84" s="24"/>
      <c r="AC84" s="24"/>
      <c r="AD84" s="34">
        <f t="shared" si="1"/>
        <v>20243667</v>
      </c>
      <c r="AE84" s="24">
        <f t="shared" si="1"/>
        <v>4400780</v>
      </c>
      <c r="AF84" s="24">
        <f t="shared" si="1"/>
        <v>4853253</v>
      </c>
      <c r="AG84" s="35">
        <f t="shared" si="1"/>
        <v>449555000</v>
      </c>
    </row>
    <row r="85" spans="1:33">
      <c r="A85" s="1" t="s">
        <v>70</v>
      </c>
      <c r="B85" s="34">
        <f t="shared" ref="B85:Y85" si="18">SUM(B27:B30)</f>
        <v>20725602</v>
      </c>
      <c r="C85" s="24">
        <f t="shared" si="18"/>
        <v>4239336.4034700003</v>
      </c>
      <c r="D85" s="24">
        <f t="shared" si="18"/>
        <v>4517438.4034700003</v>
      </c>
      <c r="E85" s="24">
        <f t="shared" si="18"/>
        <v>667469463</v>
      </c>
      <c r="F85" s="34">
        <f t="shared" si="18"/>
        <v>11252688</v>
      </c>
      <c r="G85" s="24">
        <f t="shared" si="18"/>
        <v>1710730</v>
      </c>
      <c r="H85" s="24">
        <f t="shared" si="18"/>
        <v>1961408</v>
      </c>
      <c r="I85" s="35">
        <f t="shared" si="18"/>
        <v>216774950</v>
      </c>
      <c r="J85" s="24">
        <f t="shared" si="18"/>
        <v>3125565</v>
      </c>
      <c r="K85" s="24">
        <f t="shared" si="18"/>
        <v>730970</v>
      </c>
      <c r="L85" s="24">
        <f t="shared" si="18"/>
        <v>344213</v>
      </c>
      <c r="M85" s="24">
        <f t="shared" si="18"/>
        <v>61423433</v>
      </c>
      <c r="N85" s="34">
        <f t="shared" si="18"/>
        <v>1286378.6423299999</v>
      </c>
      <c r="O85" s="24">
        <f t="shared" si="18"/>
        <v>246625.99235999992</v>
      </c>
      <c r="P85" s="24">
        <f t="shared" si="18"/>
        <v>170269.09116999991</v>
      </c>
      <c r="Q85" s="35">
        <f t="shared" si="18"/>
        <v>35453797</v>
      </c>
      <c r="R85" s="24">
        <f t="shared" si="18"/>
        <v>10226146</v>
      </c>
      <c r="S85" s="24">
        <f t="shared" si="18"/>
        <v>1880795</v>
      </c>
      <c r="T85" s="24">
        <f t="shared" si="18"/>
        <v>1791786</v>
      </c>
      <c r="U85" s="24">
        <f t="shared" si="18"/>
        <v>197182508</v>
      </c>
      <c r="V85" s="34">
        <f t="shared" si="18"/>
        <v>1383143</v>
      </c>
      <c r="W85" s="24">
        <f t="shared" si="18"/>
        <v>313438</v>
      </c>
      <c r="X85" s="24">
        <f t="shared" si="18"/>
        <v>226575</v>
      </c>
      <c r="Y85" s="35">
        <f t="shared" si="18"/>
        <v>33203996</v>
      </c>
      <c r="Z85" s="24"/>
      <c r="AA85" s="24"/>
      <c r="AB85" s="24"/>
      <c r="AC85" s="24"/>
      <c r="AD85" s="34">
        <f t="shared" si="1"/>
        <v>20723886</v>
      </c>
      <c r="AE85" s="24">
        <f t="shared" si="1"/>
        <v>4608860</v>
      </c>
      <c r="AF85" s="24">
        <f t="shared" si="1"/>
        <v>5038013</v>
      </c>
      <c r="AG85" s="35">
        <f t="shared" si="1"/>
        <v>461502000</v>
      </c>
    </row>
    <row r="86" spans="1:33">
      <c r="A86" s="1" t="s">
        <v>79</v>
      </c>
      <c r="B86" s="34">
        <f t="shared" ref="B86:Y86" si="19">SUM(B28:B31)</f>
        <v>20843585</v>
      </c>
      <c r="C86" s="24">
        <f t="shared" si="19"/>
        <v>4251286.0495600002</v>
      </c>
      <c r="D86" s="24">
        <f t="shared" si="19"/>
        <v>4581602.0495600002</v>
      </c>
      <c r="E86" s="24">
        <f t="shared" si="19"/>
        <v>666231980</v>
      </c>
      <c r="F86" s="34">
        <f t="shared" si="19"/>
        <v>11282143</v>
      </c>
      <c r="G86" s="24">
        <f t="shared" si="19"/>
        <v>1647185</v>
      </c>
      <c r="H86" s="24">
        <f t="shared" si="19"/>
        <v>1926568</v>
      </c>
      <c r="I86" s="35">
        <f t="shared" si="19"/>
        <v>216454770</v>
      </c>
      <c r="J86" s="24">
        <f t="shared" si="19"/>
        <v>3162866</v>
      </c>
      <c r="K86" s="24">
        <f t="shared" si="19"/>
        <v>696192</v>
      </c>
      <c r="L86" s="24">
        <f t="shared" si="19"/>
        <v>302359</v>
      </c>
      <c r="M86" s="24">
        <f t="shared" si="19"/>
        <v>62752010</v>
      </c>
      <c r="N86" s="34">
        <f t="shared" si="19"/>
        <v>1315867.19141</v>
      </c>
      <c r="O86" s="24">
        <f t="shared" si="19"/>
        <v>263907.73439999996</v>
      </c>
      <c r="P86" s="24">
        <f t="shared" si="19"/>
        <v>190306.08006999997</v>
      </c>
      <c r="Q86" s="35">
        <f t="shared" si="19"/>
        <v>36308700</v>
      </c>
      <c r="R86" s="24">
        <f t="shared" si="19"/>
        <v>10372323</v>
      </c>
      <c r="S86" s="24">
        <f t="shared" si="19"/>
        <v>1923356</v>
      </c>
      <c r="T86" s="24">
        <f t="shared" si="19"/>
        <v>1859629</v>
      </c>
      <c r="U86" s="24">
        <f t="shared" si="19"/>
        <v>199639471</v>
      </c>
      <c r="V86" s="34">
        <f t="shared" si="19"/>
        <v>1410956</v>
      </c>
      <c r="W86" s="24">
        <f t="shared" si="19"/>
        <v>307145</v>
      </c>
      <c r="X86" s="24">
        <f t="shared" si="19"/>
        <v>218158</v>
      </c>
      <c r="Y86" s="35">
        <f t="shared" si="19"/>
        <v>34289062</v>
      </c>
      <c r="Z86" s="24"/>
      <c r="AA86" s="24"/>
      <c r="AB86" s="24"/>
      <c r="AC86" s="24"/>
      <c r="AD86" s="34">
        <f t="shared" si="1"/>
        <v>20957741</v>
      </c>
      <c r="AE86" s="24">
        <f t="shared" si="1"/>
        <v>4515414</v>
      </c>
      <c r="AF86" s="24">
        <f t="shared" si="1"/>
        <v>5108096</v>
      </c>
      <c r="AG86" s="35">
        <f t="shared" si="1"/>
        <v>462989000</v>
      </c>
    </row>
    <row r="87" spans="1:33">
      <c r="A87" s="1" t="s">
        <v>71</v>
      </c>
      <c r="B87" s="34">
        <f t="shared" ref="B87:B118" si="20">SUM(B29:B32)</f>
        <v>21124725</v>
      </c>
      <c r="C87" s="24">
        <v>11563374</v>
      </c>
      <c r="D87" s="24">
        <f t="shared" ref="D87:H96" si="21">SUM(D29:D32)</f>
        <v>12104167</v>
      </c>
      <c r="E87" s="24">
        <f t="shared" si="21"/>
        <v>665948516.77200007</v>
      </c>
      <c r="F87" s="34">
        <f t="shared" si="21"/>
        <v>11107304</v>
      </c>
      <c r="G87" s="24">
        <f t="shared" si="21"/>
        <v>5278022</v>
      </c>
      <c r="H87" s="24">
        <f t="shared" si="21"/>
        <v>5488025</v>
      </c>
      <c r="I87" s="35">
        <v>208120000</v>
      </c>
      <c r="J87" s="24">
        <f t="shared" ref="J87:Y87" si="22">SUM(J29:J32)</f>
        <v>3185145</v>
      </c>
      <c r="K87" s="24">
        <f t="shared" si="22"/>
        <v>2031333</v>
      </c>
      <c r="L87" s="24">
        <f t="shared" si="22"/>
        <v>1636959</v>
      </c>
      <c r="M87" s="24">
        <f t="shared" si="22"/>
        <v>62708628</v>
      </c>
      <c r="N87" s="34">
        <f t="shared" si="22"/>
        <v>1349787.19141</v>
      </c>
      <c r="O87" s="24">
        <f t="shared" si="22"/>
        <v>736571.73439999996</v>
      </c>
      <c r="P87" s="24">
        <f t="shared" si="22"/>
        <v>664262.08006999991</v>
      </c>
      <c r="Q87" s="35">
        <f t="shared" si="22"/>
        <v>36644364</v>
      </c>
      <c r="R87" s="24">
        <f t="shared" si="22"/>
        <v>10551113</v>
      </c>
      <c r="S87" s="24">
        <f t="shared" si="22"/>
        <v>5325955</v>
      </c>
      <c r="T87" s="24">
        <f t="shared" si="22"/>
        <v>5291341</v>
      </c>
      <c r="U87" s="24">
        <f t="shared" si="22"/>
        <v>201450969</v>
      </c>
      <c r="V87" s="34">
        <f t="shared" si="22"/>
        <v>1439468</v>
      </c>
      <c r="W87" s="24">
        <f t="shared" si="22"/>
        <v>762654</v>
      </c>
      <c r="X87" s="24">
        <f t="shared" si="22"/>
        <v>658451</v>
      </c>
      <c r="Y87" s="35">
        <f t="shared" si="22"/>
        <v>36101568</v>
      </c>
      <c r="Z87" s="24"/>
      <c r="AA87" s="24"/>
      <c r="AB87" s="24"/>
      <c r="AC87" s="24"/>
      <c r="AD87" s="34">
        <f t="shared" si="1"/>
        <v>21239964</v>
      </c>
      <c r="AE87" s="24">
        <f t="shared" si="1"/>
        <v>10132672</v>
      </c>
      <c r="AF87" s="24">
        <f t="shared" si="1"/>
        <v>10964838</v>
      </c>
      <c r="AG87" s="35">
        <f t="shared" si="1"/>
        <v>466721000</v>
      </c>
    </row>
    <row r="88" spans="1:33">
      <c r="A88" s="1" t="s">
        <v>83</v>
      </c>
      <c r="B88" s="34">
        <f t="shared" si="20"/>
        <v>21517373</v>
      </c>
      <c r="C88" s="24">
        <f t="shared" ref="C88:C118" si="23">SUM(C30:C33)</f>
        <v>11914521</v>
      </c>
      <c r="D88" s="24">
        <f t="shared" si="21"/>
        <v>12487221</v>
      </c>
      <c r="E88" s="24">
        <f t="shared" si="21"/>
        <v>671375036.77200007</v>
      </c>
      <c r="F88" s="34">
        <f t="shared" si="21"/>
        <v>11112904</v>
      </c>
      <c r="G88" s="24">
        <f t="shared" si="21"/>
        <v>5525585</v>
      </c>
      <c r="H88" s="24">
        <f t="shared" si="21"/>
        <v>5809863</v>
      </c>
      <c r="I88" s="35">
        <f t="shared" ref="I88:I94" si="24">SUM(I30:I33)</f>
        <v>203892751</v>
      </c>
      <c r="J88" s="24">
        <f t="shared" ref="J88:Y88" si="25">SUM(J30:J33)</f>
        <v>3231797</v>
      </c>
      <c r="K88" s="24">
        <f t="shared" si="25"/>
        <v>2033177</v>
      </c>
      <c r="L88" s="24">
        <f t="shared" si="25"/>
        <v>1642894</v>
      </c>
      <c r="M88" s="24">
        <f t="shared" si="25"/>
        <v>62560434</v>
      </c>
      <c r="N88" s="34">
        <f t="shared" si="25"/>
        <v>1364345.19141</v>
      </c>
      <c r="O88" s="24">
        <f t="shared" si="25"/>
        <v>748705.73439999996</v>
      </c>
      <c r="P88" s="24">
        <f t="shared" si="25"/>
        <v>676431.08006999991</v>
      </c>
      <c r="Q88" s="35">
        <f t="shared" si="25"/>
        <v>36305551</v>
      </c>
      <c r="R88" s="24">
        <f t="shared" si="25"/>
        <v>10693458</v>
      </c>
      <c r="S88" s="24">
        <f t="shared" si="25"/>
        <v>5429395</v>
      </c>
      <c r="T88" s="24">
        <f t="shared" si="25"/>
        <v>5418454</v>
      </c>
      <c r="U88" s="24">
        <f t="shared" si="25"/>
        <v>201852204</v>
      </c>
      <c r="V88" s="34">
        <f t="shared" si="25"/>
        <v>1453770</v>
      </c>
      <c r="W88" s="24">
        <f t="shared" si="25"/>
        <v>764396</v>
      </c>
      <c r="X88" s="24">
        <f t="shared" si="25"/>
        <v>662922</v>
      </c>
      <c r="Y88" s="35">
        <f t="shared" si="25"/>
        <v>37229263</v>
      </c>
      <c r="Z88" s="24"/>
      <c r="AA88" s="24"/>
      <c r="AB88" s="24"/>
      <c r="AC88" s="24"/>
      <c r="AD88" s="34">
        <f t="shared" ref="AD88:AG107" si="26">SUM(AD30:AD33)</f>
        <v>21582828</v>
      </c>
      <c r="AE88" s="24">
        <f t="shared" si="26"/>
        <v>10484937</v>
      </c>
      <c r="AF88" s="24">
        <f t="shared" si="26"/>
        <v>11263500</v>
      </c>
      <c r="AG88" s="35">
        <f t="shared" si="26"/>
        <v>470042000</v>
      </c>
    </row>
    <row r="89" spans="1:33">
      <c r="A89" s="1" t="s">
        <v>84</v>
      </c>
      <c r="B89" s="34">
        <f t="shared" si="20"/>
        <v>22099188</v>
      </c>
      <c r="C89" s="24">
        <f t="shared" si="23"/>
        <v>12289592</v>
      </c>
      <c r="D89" s="24">
        <f t="shared" si="21"/>
        <v>12952247</v>
      </c>
      <c r="E89" s="24">
        <f t="shared" si="21"/>
        <v>684383203.77200007</v>
      </c>
      <c r="F89" s="34">
        <f t="shared" si="21"/>
        <v>11274879</v>
      </c>
      <c r="G89" s="24">
        <f t="shared" si="21"/>
        <v>5792264</v>
      </c>
      <c r="H89" s="24">
        <f t="shared" si="21"/>
        <v>6126955</v>
      </c>
      <c r="I89" s="35">
        <f t="shared" si="24"/>
        <v>204036037</v>
      </c>
      <c r="J89" s="24">
        <f t="shared" ref="J89:Y89" si="27">SUM(J31:J34)</f>
        <v>3329432</v>
      </c>
      <c r="K89" s="24">
        <f t="shared" si="27"/>
        <v>2098983</v>
      </c>
      <c r="L89" s="24">
        <f t="shared" si="27"/>
        <v>1713518</v>
      </c>
      <c r="M89" s="24">
        <f t="shared" si="27"/>
        <v>63722952</v>
      </c>
      <c r="N89" s="34">
        <f t="shared" si="27"/>
        <v>1372405</v>
      </c>
      <c r="O89" s="24">
        <f t="shared" si="27"/>
        <v>762653.13124999998</v>
      </c>
      <c r="P89" s="24">
        <f t="shared" si="27"/>
        <v>691659.26856</v>
      </c>
      <c r="Q89" s="35">
        <f t="shared" si="27"/>
        <v>35554282</v>
      </c>
      <c r="R89" s="24">
        <f t="shared" si="27"/>
        <v>10954710</v>
      </c>
      <c r="S89" s="24">
        <f t="shared" si="27"/>
        <v>5588684</v>
      </c>
      <c r="T89" s="24">
        <f t="shared" si="27"/>
        <v>5625400</v>
      </c>
      <c r="U89" s="24">
        <f t="shared" si="27"/>
        <v>204365803</v>
      </c>
      <c r="V89" s="34">
        <f t="shared" si="27"/>
        <v>1502605</v>
      </c>
      <c r="W89" s="24">
        <f t="shared" si="27"/>
        <v>803144</v>
      </c>
      <c r="X89" s="24">
        <f t="shared" si="27"/>
        <v>698523</v>
      </c>
      <c r="Y89" s="35">
        <f t="shared" si="27"/>
        <v>38734754</v>
      </c>
      <c r="Z89" s="24"/>
      <c r="AA89" s="24"/>
      <c r="AB89" s="24"/>
      <c r="AC89" s="24"/>
      <c r="AD89" s="34">
        <f t="shared" si="26"/>
        <v>22005356</v>
      </c>
      <c r="AE89" s="24">
        <f t="shared" si="26"/>
        <v>10849759</v>
      </c>
      <c r="AF89" s="24">
        <f t="shared" si="26"/>
        <v>11683246</v>
      </c>
      <c r="AG89" s="35">
        <f t="shared" si="26"/>
        <v>472856000</v>
      </c>
    </row>
    <row r="90" spans="1:33">
      <c r="A90" s="1" t="s">
        <v>85</v>
      </c>
      <c r="B90" s="34">
        <f t="shared" si="20"/>
        <v>22867435</v>
      </c>
      <c r="C90" s="24">
        <f t="shared" si="23"/>
        <v>12661555</v>
      </c>
      <c r="D90" s="24">
        <f t="shared" si="21"/>
        <v>13414909</v>
      </c>
      <c r="E90" s="24">
        <f t="shared" si="21"/>
        <v>695737433.77200007</v>
      </c>
      <c r="F90" s="34">
        <f t="shared" si="21"/>
        <v>11658186</v>
      </c>
      <c r="G90" s="24">
        <f t="shared" si="21"/>
        <v>6193389</v>
      </c>
      <c r="H90" s="24">
        <f t="shared" si="21"/>
        <v>6595789</v>
      </c>
      <c r="I90" s="35">
        <f t="shared" si="24"/>
        <v>204857739</v>
      </c>
      <c r="J90" s="24">
        <f t="shared" ref="J90:Y90" si="28">SUM(J32:J35)</f>
        <v>3439624</v>
      </c>
      <c r="K90" s="24">
        <f t="shared" si="28"/>
        <v>2178159</v>
      </c>
      <c r="L90" s="24">
        <f t="shared" si="28"/>
        <v>1792064</v>
      </c>
      <c r="M90" s="24">
        <f t="shared" si="28"/>
        <v>65142256</v>
      </c>
      <c r="N90" s="34">
        <f t="shared" si="28"/>
        <v>1398749</v>
      </c>
      <c r="O90" s="24">
        <f t="shared" si="28"/>
        <v>789105.13124999998</v>
      </c>
      <c r="P90" s="24">
        <f t="shared" si="28"/>
        <v>716884.77682000003</v>
      </c>
      <c r="Q90" s="35">
        <f t="shared" si="28"/>
        <v>34791762</v>
      </c>
      <c r="R90" s="24">
        <f t="shared" si="28"/>
        <v>11231746</v>
      </c>
      <c r="S90" s="24">
        <f t="shared" si="28"/>
        <v>5780546</v>
      </c>
      <c r="T90" s="24">
        <f t="shared" si="28"/>
        <v>5821309</v>
      </c>
      <c r="U90" s="24">
        <f t="shared" si="28"/>
        <v>206561396</v>
      </c>
      <c r="V90" s="34">
        <f t="shared" si="28"/>
        <v>1553535</v>
      </c>
      <c r="W90" s="24">
        <f t="shared" si="28"/>
        <v>844642</v>
      </c>
      <c r="X90" s="24">
        <f t="shared" si="28"/>
        <v>739235</v>
      </c>
      <c r="Y90" s="35">
        <f t="shared" si="28"/>
        <v>39118536</v>
      </c>
      <c r="Z90" s="24"/>
      <c r="AA90" s="24"/>
      <c r="AB90" s="24"/>
      <c r="AC90" s="24"/>
      <c r="AD90" s="34">
        <f t="shared" si="26"/>
        <v>22525437</v>
      </c>
      <c r="AE90" s="24">
        <f t="shared" si="26"/>
        <v>11418929</v>
      </c>
      <c r="AF90" s="24">
        <f t="shared" si="26"/>
        <v>12208429</v>
      </c>
      <c r="AG90" s="35">
        <f t="shared" si="26"/>
        <v>477199000</v>
      </c>
    </row>
    <row r="91" spans="1:33">
      <c r="A91" s="1" t="s">
        <v>86</v>
      </c>
      <c r="B91" s="34">
        <f t="shared" si="20"/>
        <v>23413147</v>
      </c>
      <c r="C91" s="24">
        <f t="shared" si="23"/>
        <v>5698769</v>
      </c>
      <c r="D91" s="24">
        <f t="shared" si="21"/>
        <v>6442334</v>
      </c>
      <c r="E91" s="24">
        <f t="shared" si="21"/>
        <v>701810669</v>
      </c>
      <c r="F91" s="34">
        <f t="shared" si="21"/>
        <v>11933560</v>
      </c>
      <c r="G91" s="24">
        <f t="shared" si="21"/>
        <v>2939460</v>
      </c>
      <c r="H91" s="24">
        <f t="shared" si="21"/>
        <v>3354750</v>
      </c>
      <c r="I91" s="35">
        <f t="shared" si="24"/>
        <v>205713109</v>
      </c>
      <c r="J91" s="24">
        <f t="shared" ref="J91:Y91" si="29">SUM(J33:J36)</f>
        <v>3532725</v>
      </c>
      <c r="K91" s="24">
        <f t="shared" si="29"/>
        <v>818273</v>
      </c>
      <c r="L91" s="24">
        <f t="shared" si="29"/>
        <v>435340</v>
      </c>
      <c r="M91" s="24">
        <f t="shared" si="29"/>
        <v>66698818</v>
      </c>
      <c r="N91" s="34">
        <f t="shared" si="29"/>
        <v>1414605</v>
      </c>
      <c r="O91" s="24">
        <f t="shared" si="29"/>
        <v>363198.13124999998</v>
      </c>
      <c r="P91" s="24">
        <f t="shared" si="29"/>
        <v>286218.77681999997</v>
      </c>
      <c r="Q91" s="35">
        <f t="shared" si="29"/>
        <v>34352821</v>
      </c>
      <c r="R91" s="24">
        <f t="shared" si="29"/>
        <v>11457713</v>
      </c>
      <c r="S91" s="24">
        <f t="shared" si="29"/>
        <v>2550802</v>
      </c>
      <c r="T91" s="24">
        <f t="shared" si="29"/>
        <v>2772668</v>
      </c>
      <c r="U91" s="24">
        <f t="shared" si="29"/>
        <v>207369431</v>
      </c>
      <c r="V91" s="34">
        <f t="shared" si="29"/>
        <v>1594629</v>
      </c>
      <c r="W91" s="24">
        <f t="shared" si="29"/>
        <v>448031</v>
      </c>
      <c r="X91" s="24">
        <f t="shared" si="29"/>
        <v>378932</v>
      </c>
      <c r="Y91" s="35">
        <f t="shared" si="29"/>
        <v>39395642</v>
      </c>
      <c r="Z91" s="24"/>
      <c r="AA91" s="24"/>
      <c r="AB91" s="24"/>
      <c r="AC91" s="24"/>
      <c r="AD91" s="34">
        <f t="shared" si="26"/>
        <v>22831419</v>
      </c>
      <c r="AE91" s="24">
        <f t="shared" si="26"/>
        <v>6268246</v>
      </c>
      <c r="AF91" s="24">
        <f t="shared" si="26"/>
        <v>6874602</v>
      </c>
      <c r="AG91" s="35">
        <f t="shared" si="26"/>
        <v>473957000</v>
      </c>
    </row>
    <row r="92" spans="1:33">
      <c r="A92" s="1" t="s">
        <v>94</v>
      </c>
      <c r="B92" s="34">
        <f t="shared" si="20"/>
        <v>23542727</v>
      </c>
      <c r="C92" s="24">
        <f t="shared" si="23"/>
        <v>5667535</v>
      </c>
      <c r="D92" s="24">
        <f t="shared" si="21"/>
        <v>6629797</v>
      </c>
      <c r="E92" s="24">
        <f t="shared" si="21"/>
        <v>690076003</v>
      </c>
      <c r="F92" s="34">
        <f t="shared" si="21"/>
        <v>12067467</v>
      </c>
      <c r="G92" s="24">
        <f t="shared" si="21"/>
        <v>3044027</v>
      </c>
      <c r="H92" s="24">
        <f t="shared" si="21"/>
        <v>3429827</v>
      </c>
      <c r="I92" s="35">
        <f t="shared" si="24"/>
        <v>207147103</v>
      </c>
      <c r="J92" s="24">
        <f t="shared" ref="J92:Y92" si="30">SUM(J34:J37)</f>
        <v>3582989</v>
      </c>
      <c r="K92" s="24">
        <f t="shared" si="30"/>
        <v>814720</v>
      </c>
      <c r="L92" s="24">
        <f t="shared" si="30"/>
        <v>420137</v>
      </c>
      <c r="M92" s="24">
        <f t="shared" si="30"/>
        <v>66825155</v>
      </c>
      <c r="N92" s="34">
        <f t="shared" si="30"/>
        <v>1443647</v>
      </c>
      <c r="O92" s="24">
        <f t="shared" si="30"/>
        <v>334849.13124999998</v>
      </c>
      <c r="P92" s="24">
        <f t="shared" si="30"/>
        <v>253672.77681999997</v>
      </c>
      <c r="Q92" s="35">
        <f t="shared" si="30"/>
        <v>34722373</v>
      </c>
      <c r="R92" s="24">
        <f t="shared" si="30"/>
        <v>11580355</v>
      </c>
      <c r="S92" s="24">
        <f t="shared" si="30"/>
        <v>2604203</v>
      </c>
      <c r="T92" s="24">
        <f t="shared" si="30"/>
        <v>2872122</v>
      </c>
      <c r="U92" s="24">
        <f t="shared" si="30"/>
        <v>206647989</v>
      </c>
      <c r="V92" s="34">
        <f t="shared" si="30"/>
        <v>1584319</v>
      </c>
      <c r="W92" s="24">
        <f t="shared" si="30"/>
        <v>434690</v>
      </c>
      <c r="X92" s="24">
        <f t="shared" si="30"/>
        <v>366949</v>
      </c>
      <c r="Y92" s="35">
        <f t="shared" si="30"/>
        <v>38025024</v>
      </c>
      <c r="Z92" s="24"/>
      <c r="AA92" s="24"/>
      <c r="AB92" s="24"/>
      <c r="AC92" s="24"/>
      <c r="AD92" s="34">
        <f t="shared" si="26"/>
        <v>22740865</v>
      </c>
      <c r="AE92" s="24">
        <f t="shared" si="26"/>
        <v>6323320.4730000002</v>
      </c>
      <c r="AF92" s="24">
        <f t="shared" si="26"/>
        <v>6912946</v>
      </c>
      <c r="AG92" s="35">
        <f t="shared" si="26"/>
        <v>463207000</v>
      </c>
    </row>
    <row r="93" spans="1:33">
      <c r="A93" s="1" t="s">
        <v>95</v>
      </c>
      <c r="B93" s="34">
        <f t="shared" si="20"/>
        <v>23566462</v>
      </c>
      <c r="C93" s="24">
        <f t="shared" si="23"/>
        <v>5675261</v>
      </c>
      <c r="D93" s="24">
        <f t="shared" si="21"/>
        <v>6726111</v>
      </c>
      <c r="E93" s="24">
        <f t="shared" si="21"/>
        <v>686144422</v>
      </c>
      <c r="F93" s="34">
        <f t="shared" si="21"/>
        <v>12021382</v>
      </c>
      <c r="G93" s="24">
        <f t="shared" si="21"/>
        <v>3008570</v>
      </c>
      <c r="H93" s="24">
        <f t="shared" si="21"/>
        <v>3460708</v>
      </c>
      <c r="I93" s="35">
        <f t="shared" si="24"/>
        <v>205228888</v>
      </c>
      <c r="J93" s="24">
        <f t="shared" ref="J93:Y93" si="31">SUM(J35:J38)</f>
        <v>3607901</v>
      </c>
      <c r="K93" s="24">
        <f t="shared" si="31"/>
        <v>835645</v>
      </c>
      <c r="L93" s="24">
        <f t="shared" si="31"/>
        <v>428558</v>
      </c>
      <c r="M93" s="24">
        <f t="shared" si="31"/>
        <v>67491259</v>
      </c>
      <c r="N93" s="34">
        <f t="shared" si="31"/>
        <v>1456544</v>
      </c>
      <c r="O93" s="24">
        <f t="shared" si="31"/>
        <v>313931</v>
      </c>
      <c r="P93" s="24">
        <f t="shared" si="31"/>
        <v>228153.40826</v>
      </c>
      <c r="Q93" s="35">
        <f t="shared" si="31"/>
        <v>34601498</v>
      </c>
      <c r="R93" s="24">
        <f t="shared" si="31"/>
        <v>11607207</v>
      </c>
      <c r="S93" s="24">
        <f t="shared" si="31"/>
        <v>2661830</v>
      </c>
      <c r="T93" s="24">
        <f t="shared" si="31"/>
        <v>2940991.102</v>
      </c>
      <c r="U93" s="24">
        <f t="shared" si="31"/>
        <v>204738828</v>
      </c>
      <c r="V93" s="34">
        <f t="shared" si="31"/>
        <v>1581591</v>
      </c>
      <c r="W93" s="24">
        <f t="shared" si="31"/>
        <v>421824</v>
      </c>
      <c r="X93" s="24">
        <f t="shared" si="31"/>
        <v>373788</v>
      </c>
      <c r="Y93" s="35">
        <f t="shared" si="31"/>
        <v>37123600</v>
      </c>
      <c r="Z93" s="24"/>
      <c r="AA93" s="24"/>
      <c r="AB93" s="24"/>
      <c r="AC93" s="24"/>
      <c r="AD93" s="34">
        <f t="shared" si="26"/>
        <v>22664169</v>
      </c>
      <c r="AE93" s="24">
        <f t="shared" si="26"/>
        <v>6461725.807</v>
      </c>
      <c r="AF93" s="24">
        <f t="shared" si="26"/>
        <v>6916962</v>
      </c>
      <c r="AG93" s="35">
        <f t="shared" si="26"/>
        <v>454315000</v>
      </c>
    </row>
    <row r="94" spans="1:33">
      <c r="A94" s="1" t="s">
        <v>96</v>
      </c>
      <c r="B94" s="34">
        <f t="shared" si="20"/>
        <v>23472914</v>
      </c>
      <c r="C94" s="24">
        <f t="shared" si="23"/>
        <v>5723993</v>
      </c>
      <c r="D94" s="24">
        <f t="shared" si="21"/>
        <v>6842189</v>
      </c>
      <c r="E94" s="24">
        <f t="shared" si="21"/>
        <v>678491832</v>
      </c>
      <c r="F94" s="34">
        <f t="shared" si="21"/>
        <v>11869551</v>
      </c>
      <c r="G94" s="24">
        <f t="shared" si="21"/>
        <v>2955934</v>
      </c>
      <c r="H94" s="24">
        <f t="shared" si="21"/>
        <v>3419997</v>
      </c>
      <c r="I94" s="35">
        <f t="shared" si="24"/>
        <v>203015806</v>
      </c>
      <c r="J94" s="24">
        <f t="shared" ref="J94:Y94" si="32">SUM(J36:J39)</f>
        <v>3582928</v>
      </c>
      <c r="K94" s="24">
        <f t="shared" si="32"/>
        <v>820519</v>
      </c>
      <c r="L94" s="24">
        <f t="shared" si="32"/>
        <v>422179</v>
      </c>
      <c r="M94" s="24">
        <f t="shared" si="32"/>
        <v>65980151</v>
      </c>
      <c r="N94" s="34">
        <f t="shared" si="32"/>
        <v>1469885</v>
      </c>
      <c r="O94" s="24">
        <f t="shared" si="32"/>
        <v>309953</v>
      </c>
      <c r="P94" s="24">
        <f t="shared" si="32"/>
        <v>221832.9</v>
      </c>
      <c r="Q94" s="35">
        <f t="shared" si="32"/>
        <v>35129679</v>
      </c>
      <c r="R94" s="24">
        <f t="shared" si="32"/>
        <v>11501112</v>
      </c>
      <c r="S94" s="24">
        <f t="shared" si="32"/>
        <v>2632606</v>
      </c>
      <c r="T94" s="24">
        <f t="shared" si="32"/>
        <v>2902948</v>
      </c>
      <c r="U94" s="24">
        <f t="shared" si="32"/>
        <v>199519049</v>
      </c>
      <c r="V94" s="34">
        <f t="shared" si="32"/>
        <v>1589183</v>
      </c>
      <c r="W94" s="24">
        <f t="shared" si="32"/>
        <v>436203</v>
      </c>
      <c r="X94" s="24">
        <f t="shared" si="32"/>
        <v>394575</v>
      </c>
      <c r="Y94" s="35">
        <f t="shared" si="32"/>
        <v>37953146</v>
      </c>
      <c r="Z94" s="24"/>
      <c r="AA94" s="24"/>
      <c r="AB94" s="24"/>
      <c r="AC94" s="24"/>
      <c r="AD94" s="34">
        <f t="shared" si="26"/>
        <v>22252323</v>
      </c>
      <c r="AE94" s="24">
        <f t="shared" si="26"/>
        <v>6458596.807</v>
      </c>
      <c r="AF94" s="24">
        <f t="shared" si="26"/>
        <v>6785559</v>
      </c>
      <c r="AG94" s="35">
        <f t="shared" si="26"/>
        <v>439109000</v>
      </c>
    </row>
    <row r="95" spans="1:33">
      <c r="A95" s="1" t="s">
        <v>97</v>
      </c>
      <c r="B95" s="34">
        <f t="shared" si="20"/>
        <v>23132863</v>
      </c>
      <c r="C95" s="24">
        <f t="shared" si="23"/>
        <v>5756579</v>
      </c>
      <c r="D95" s="24">
        <f t="shared" si="21"/>
        <v>6912478</v>
      </c>
      <c r="E95" s="24">
        <f t="shared" si="21"/>
        <v>665033180</v>
      </c>
      <c r="F95" s="34">
        <f t="shared" si="21"/>
        <v>11612474</v>
      </c>
      <c r="G95" s="24">
        <f t="shared" si="21"/>
        <v>2837857</v>
      </c>
      <c r="H95" s="24">
        <f t="shared" si="21"/>
        <v>3313662</v>
      </c>
      <c r="I95" s="35">
        <v>199211391</v>
      </c>
      <c r="J95" s="24">
        <f t="shared" ref="J95:Y95" si="33">SUM(J37:J40)</f>
        <v>3484333</v>
      </c>
      <c r="K95" s="24">
        <f t="shared" si="33"/>
        <v>849107</v>
      </c>
      <c r="L95" s="24">
        <f t="shared" si="33"/>
        <v>429394</v>
      </c>
      <c r="M95" s="24">
        <f t="shared" si="33"/>
        <v>62606895</v>
      </c>
      <c r="N95" s="34">
        <f t="shared" si="33"/>
        <v>1484821</v>
      </c>
      <c r="O95" s="24">
        <f t="shared" si="33"/>
        <v>283118</v>
      </c>
      <c r="P95" s="24">
        <f t="shared" si="33"/>
        <v>196605.9</v>
      </c>
      <c r="Q95" s="35">
        <f t="shared" si="33"/>
        <v>35585764</v>
      </c>
      <c r="R95" s="24">
        <f t="shared" si="33"/>
        <v>11296064</v>
      </c>
      <c r="S95" s="24">
        <f t="shared" si="33"/>
        <v>2688331.2889999999</v>
      </c>
      <c r="T95" s="24">
        <f t="shared" si="33"/>
        <v>2817737.2889999999</v>
      </c>
      <c r="U95" s="24">
        <f t="shared" si="33"/>
        <v>194044925</v>
      </c>
      <c r="V95" s="34">
        <f t="shared" si="33"/>
        <v>1581634</v>
      </c>
      <c r="W95" s="24">
        <f t="shared" si="33"/>
        <v>406108</v>
      </c>
      <c r="X95" s="24">
        <f t="shared" si="33"/>
        <v>349579</v>
      </c>
      <c r="Y95" s="35">
        <f t="shared" si="33"/>
        <v>37543600</v>
      </c>
      <c r="Z95" s="24"/>
      <c r="AA95" s="24"/>
      <c r="AB95" s="24"/>
      <c r="AC95" s="24"/>
      <c r="AD95" s="34">
        <f t="shared" si="26"/>
        <v>21707798</v>
      </c>
      <c r="AE95" s="24">
        <f t="shared" si="26"/>
        <v>6326141</v>
      </c>
      <c r="AF95" s="24">
        <f t="shared" si="26"/>
        <v>6573957</v>
      </c>
      <c r="AG95" s="35">
        <f t="shared" si="26"/>
        <v>423433000</v>
      </c>
    </row>
    <row r="96" spans="1:33">
      <c r="A96" s="1" t="s">
        <v>101</v>
      </c>
      <c r="B96" s="34">
        <f t="shared" si="20"/>
        <v>22809824</v>
      </c>
      <c r="C96" s="24">
        <f t="shared" si="23"/>
        <v>5841380</v>
      </c>
      <c r="D96" s="24">
        <f t="shared" si="21"/>
        <v>6829919</v>
      </c>
      <c r="E96" s="24">
        <f t="shared" si="21"/>
        <v>660031881</v>
      </c>
      <c r="F96" s="34">
        <f t="shared" si="21"/>
        <v>11460057</v>
      </c>
      <c r="G96" s="24">
        <f t="shared" si="21"/>
        <v>2840053</v>
      </c>
      <c r="H96" s="24">
        <f t="shared" si="21"/>
        <v>3297802</v>
      </c>
      <c r="I96" s="35">
        <f t="shared" ref="I96:I118" si="34">SUM(I38:I41)</f>
        <v>199518671</v>
      </c>
      <c r="J96" s="24">
        <f t="shared" ref="J96:Y96" si="35">SUM(J38:J41)</f>
        <v>3447797</v>
      </c>
      <c r="K96" s="24">
        <f t="shared" si="35"/>
        <v>970344</v>
      </c>
      <c r="L96" s="24">
        <f t="shared" si="35"/>
        <v>560203</v>
      </c>
      <c r="M96" s="24">
        <f t="shared" si="35"/>
        <v>61789233</v>
      </c>
      <c r="N96" s="34">
        <f t="shared" si="35"/>
        <v>1500129</v>
      </c>
      <c r="O96" s="24">
        <f t="shared" si="35"/>
        <v>345673</v>
      </c>
      <c r="P96" s="24">
        <f t="shared" si="35"/>
        <v>261350.9</v>
      </c>
      <c r="Q96" s="35">
        <f t="shared" si="35"/>
        <v>35585068</v>
      </c>
      <c r="R96" s="24">
        <f t="shared" si="35"/>
        <v>11081673</v>
      </c>
      <c r="S96" s="24">
        <f t="shared" si="35"/>
        <v>2449244.2889999999</v>
      </c>
      <c r="T96" s="24">
        <f t="shared" si="35"/>
        <v>2551334.2889999999</v>
      </c>
      <c r="U96" s="24">
        <f t="shared" si="35"/>
        <v>188564791</v>
      </c>
      <c r="V96" s="34">
        <f t="shared" si="35"/>
        <v>1625803</v>
      </c>
      <c r="W96" s="24">
        <f t="shared" si="35"/>
        <v>456071</v>
      </c>
      <c r="X96" s="24">
        <f t="shared" si="35"/>
        <v>403480</v>
      </c>
      <c r="Y96" s="35">
        <f t="shared" si="35"/>
        <v>39192842</v>
      </c>
      <c r="Z96" s="24"/>
      <c r="AA96" s="24"/>
      <c r="AB96" s="24"/>
      <c r="AC96" s="24"/>
      <c r="AD96" s="34">
        <f t="shared" si="26"/>
        <v>21552238</v>
      </c>
      <c r="AE96" s="24">
        <f t="shared" si="26"/>
        <v>6450599.5270000007</v>
      </c>
      <c r="AF96" s="24">
        <f t="shared" si="26"/>
        <v>6681387</v>
      </c>
      <c r="AG96" s="35">
        <f t="shared" si="26"/>
        <v>416466000</v>
      </c>
    </row>
    <row r="97" spans="1:33">
      <c r="A97" s="1" t="s">
        <v>98</v>
      </c>
      <c r="B97" s="34">
        <f t="shared" si="20"/>
        <v>21555441</v>
      </c>
      <c r="C97" s="24">
        <f t="shared" si="23"/>
        <v>5677051</v>
      </c>
      <c r="D97" s="24">
        <f t="shared" ref="D97:H106" si="36">SUM(D39:D42)</f>
        <v>6515800</v>
      </c>
      <c r="E97" s="24">
        <f t="shared" si="36"/>
        <v>619268526</v>
      </c>
      <c r="F97" s="34">
        <f t="shared" si="36"/>
        <v>10673317</v>
      </c>
      <c r="G97" s="24">
        <f t="shared" si="36"/>
        <v>2559901</v>
      </c>
      <c r="H97" s="24">
        <f t="shared" si="36"/>
        <v>2952801</v>
      </c>
      <c r="I97" s="35">
        <f t="shared" si="34"/>
        <v>188503311</v>
      </c>
      <c r="J97" s="24">
        <f t="shared" ref="J97:Y97" si="37">SUM(J39:J42)</f>
        <v>3179388</v>
      </c>
      <c r="K97" s="24">
        <f t="shared" si="37"/>
        <v>817208</v>
      </c>
      <c r="L97" s="24">
        <f t="shared" si="37"/>
        <v>413726</v>
      </c>
      <c r="M97" s="24">
        <f t="shared" si="37"/>
        <v>55376547</v>
      </c>
      <c r="N97" s="34">
        <f t="shared" si="37"/>
        <v>1440272</v>
      </c>
      <c r="O97" s="24">
        <f t="shared" si="37"/>
        <v>358391</v>
      </c>
      <c r="P97" s="24">
        <f t="shared" si="37"/>
        <v>274283.90000000002</v>
      </c>
      <c r="Q97" s="35">
        <f t="shared" si="37"/>
        <v>34132123</v>
      </c>
      <c r="R97" s="24">
        <f t="shared" si="37"/>
        <v>10241242</v>
      </c>
      <c r="S97" s="24">
        <f t="shared" si="37"/>
        <v>2134044.2889999999</v>
      </c>
      <c r="T97" s="24">
        <f t="shared" si="37"/>
        <v>2153985.1869999999</v>
      </c>
      <c r="U97" s="24">
        <f t="shared" si="37"/>
        <v>173553276</v>
      </c>
      <c r="V97" s="34">
        <f t="shared" si="37"/>
        <v>1513294</v>
      </c>
      <c r="W97" s="24">
        <f t="shared" si="37"/>
        <v>407559</v>
      </c>
      <c r="X97" s="24">
        <f t="shared" si="37"/>
        <v>355226</v>
      </c>
      <c r="Y97" s="35">
        <f t="shared" si="37"/>
        <v>36823708</v>
      </c>
      <c r="Z97" s="24"/>
      <c r="AA97" s="24"/>
      <c r="AB97" s="24"/>
      <c r="AC97" s="24"/>
      <c r="AD97" s="34">
        <f t="shared" si="26"/>
        <v>20200599</v>
      </c>
      <c r="AE97" s="24">
        <f t="shared" si="26"/>
        <v>5972790.7853199998</v>
      </c>
      <c r="AF97" s="24">
        <f t="shared" si="26"/>
        <v>6293079</v>
      </c>
      <c r="AG97" s="35">
        <f t="shared" si="26"/>
        <v>393636000</v>
      </c>
    </row>
    <row r="98" spans="1:33">
      <c r="A98" s="1" t="s">
        <v>99</v>
      </c>
      <c r="B98" s="34">
        <f t="shared" si="20"/>
        <v>20728055</v>
      </c>
      <c r="C98" s="24">
        <f t="shared" si="23"/>
        <v>5587354</v>
      </c>
      <c r="D98" s="24">
        <f t="shared" si="36"/>
        <v>6300490</v>
      </c>
      <c r="E98" s="24">
        <f t="shared" si="36"/>
        <v>594488488</v>
      </c>
      <c r="F98" s="34">
        <f t="shared" si="36"/>
        <v>10354155</v>
      </c>
      <c r="G98" s="24">
        <f t="shared" si="36"/>
        <v>2554495</v>
      </c>
      <c r="H98" s="24">
        <f t="shared" si="36"/>
        <v>2867502</v>
      </c>
      <c r="I98" s="35">
        <f t="shared" si="34"/>
        <v>184098324</v>
      </c>
      <c r="J98" s="24">
        <f t="shared" ref="J98:Y98" si="38">SUM(J40:J43)</f>
        <v>3053457</v>
      </c>
      <c r="K98" s="24">
        <f t="shared" si="38"/>
        <v>801325</v>
      </c>
      <c r="L98" s="24">
        <f t="shared" si="38"/>
        <v>391422</v>
      </c>
      <c r="M98" s="24">
        <f t="shared" si="38"/>
        <v>52742124</v>
      </c>
      <c r="N98" s="34">
        <f t="shared" si="38"/>
        <v>1396226</v>
      </c>
      <c r="O98" s="24">
        <f t="shared" si="38"/>
        <v>356144</v>
      </c>
      <c r="P98" s="24">
        <f t="shared" si="38"/>
        <v>271307.90000000002</v>
      </c>
      <c r="Q98" s="35">
        <f t="shared" si="38"/>
        <v>32955543</v>
      </c>
      <c r="R98" s="24">
        <f t="shared" si="38"/>
        <v>9906255</v>
      </c>
      <c r="S98" s="24">
        <f t="shared" si="38"/>
        <v>2054481.2889999999</v>
      </c>
      <c r="T98" s="24">
        <f t="shared" si="38"/>
        <v>1990861.2889999999</v>
      </c>
      <c r="U98" s="24">
        <f t="shared" si="38"/>
        <v>166802645</v>
      </c>
      <c r="V98" s="34">
        <f t="shared" si="38"/>
        <v>1430344</v>
      </c>
      <c r="W98" s="24">
        <f t="shared" si="38"/>
        <v>372177</v>
      </c>
      <c r="X98" s="24">
        <f t="shared" si="38"/>
        <v>318197</v>
      </c>
      <c r="Y98" s="35">
        <f t="shared" si="38"/>
        <v>34684893</v>
      </c>
      <c r="Z98" s="24"/>
      <c r="AA98" s="24"/>
      <c r="AB98" s="24"/>
      <c r="AC98" s="24"/>
      <c r="AD98" s="34">
        <f t="shared" si="26"/>
        <v>19603348</v>
      </c>
      <c r="AE98" s="24">
        <f t="shared" si="26"/>
        <v>5820965.7853199998</v>
      </c>
      <c r="AF98" s="24">
        <f t="shared" si="26"/>
        <v>6138279</v>
      </c>
      <c r="AG98" s="35">
        <f t="shared" si="26"/>
        <v>383442000</v>
      </c>
    </row>
    <row r="99" spans="1:33">
      <c r="A99" s="1" t="s">
        <v>100</v>
      </c>
      <c r="B99" s="34">
        <f t="shared" si="20"/>
        <v>20556521</v>
      </c>
      <c r="C99" s="24">
        <f t="shared" si="23"/>
        <v>5680414</v>
      </c>
      <c r="D99" s="24">
        <f t="shared" si="36"/>
        <v>6262746</v>
      </c>
      <c r="E99" s="24">
        <f t="shared" si="36"/>
        <v>588919405</v>
      </c>
      <c r="F99" s="34">
        <f t="shared" si="36"/>
        <v>10301032</v>
      </c>
      <c r="G99" s="24">
        <f t="shared" si="36"/>
        <v>2612635</v>
      </c>
      <c r="H99" s="24">
        <f t="shared" si="36"/>
        <v>2871091</v>
      </c>
      <c r="I99" s="35">
        <f t="shared" si="34"/>
        <v>183814759</v>
      </c>
      <c r="J99" s="24">
        <f t="shared" ref="J99:Y99" si="39">SUM(J41:J44)</f>
        <v>3091304</v>
      </c>
      <c r="K99" s="24">
        <f t="shared" si="39"/>
        <v>847858</v>
      </c>
      <c r="L99" s="24">
        <f t="shared" si="39"/>
        <v>446445</v>
      </c>
      <c r="M99" s="24">
        <f t="shared" si="39"/>
        <v>54164665</v>
      </c>
      <c r="N99" s="34">
        <f t="shared" si="39"/>
        <v>1381011</v>
      </c>
      <c r="O99" s="24">
        <f t="shared" si="39"/>
        <v>370183</v>
      </c>
      <c r="P99" s="24">
        <f t="shared" si="39"/>
        <v>286288.90000000002</v>
      </c>
      <c r="Q99" s="35">
        <f t="shared" si="39"/>
        <v>32754134</v>
      </c>
      <c r="R99" s="24">
        <f t="shared" si="39"/>
        <v>9789341</v>
      </c>
      <c r="S99" s="24">
        <f t="shared" si="39"/>
        <v>2058594.7119999998</v>
      </c>
      <c r="T99" s="24">
        <f t="shared" si="39"/>
        <v>1896733.7120000001</v>
      </c>
      <c r="U99" s="24">
        <f t="shared" si="39"/>
        <v>164056102</v>
      </c>
      <c r="V99" s="34">
        <f t="shared" si="39"/>
        <v>1396550</v>
      </c>
      <c r="W99" s="24">
        <f t="shared" si="39"/>
        <v>390760</v>
      </c>
      <c r="X99" s="24">
        <f t="shared" si="39"/>
        <v>339558</v>
      </c>
      <c r="Y99" s="35">
        <f t="shared" si="39"/>
        <v>33297123</v>
      </c>
      <c r="Z99" s="24"/>
      <c r="AA99" s="24"/>
      <c r="AB99" s="24"/>
      <c r="AC99" s="24"/>
      <c r="AD99" s="34">
        <f t="shared" si="26"/>
        <v>19533480</v>
      </c>
      <c r="AE99" s="24">
        <f t="shared" si="26"/>
        <v>5813502.5923199998</v>
      </c>
      <c r="AF99" s="24">
        <f t="shared" si="26"/>
        <v>6146728</v>
      </c>
      <c r="AG99" s="35">
        <f t="shared" si="26"/>
        <v>384976000</v>
      </c>
    </row>
    <row r="100" spans="1:33">
      <c r="A100" s="1" t="s">
        <v>116</v>
      </c>
      <c r="B100" s="34">
        <f t="shared" si="20"/>
        <v>20539042</v>
      </c>
      <c r="C100" s="24">
        <f t="shared" si="23"/>
        <v>5741959</v>
      </c>
      <c r="D100" s="24">
        <f t="shared" si="36"/>
        <v>6262996</v>
      </c>
      <c r="E100" s="24">
        <f t="shared" si="36"/>
        <v>585090799</v>
      </c>
      <c r="F100" s="34">
        <f t="shared" si="36"/>
        <v>10261358</v>
      </c>
      <c r="G100" s="24">
        <f t="shared" si="36"/>
        <v>2584046</v>
      </c>
      <c r="H100" s="24">
        <f t="shared" si="36"/>
        <v>2808462</v>
      </c>
      <c r="I100" s="35">
        <f t="shared" si="34"/>
        <v>183184270</v>
      </c>
      <c r="J100" s="24">
        <f t="shared" ref="J100:Y100" si="40">SUM(J42:J45)</f>
        <v>3094345</v>
      </c>
      <c r="K100" s="24">
        <f t="shared" si="40"/>
        <v>736015</v>
      </c>
      <c r="L100" s="24">
        <f t="shared" si="40"/>
        <v>333958</v>
      </c>
      <c r="M100" s="24">
        <f t="shared" si="40"/>
        <v>54542884</v>
      </c>
      <c r="N100" s="34">
        <f t="shared" si="40"/>
        <v>1368859</v>
      </c>
      <c r="O100" s="24">
        <f t="shared" si="40"/>
        <v>363192</v>
      </c>
      <c r="P100" s="24">
        <f t="shared" si="40"/>
        <v>277401.90000000002</v>
      </c>
      <c r="Q100" s="35">
        <f t="shared" si="40"/>
        <v>32795164</v>
      </c>
      <c r="R100" s="24">
        <f t="shared" si="40"/>
        <v>9802757</v>
      </c>
      <c r="S100" s="24">
        <f t="shared" si="40"/>
        <v>2397530.7119999998</v>
      </c>
      <c r="T100" s="24">
        <f t="shared" si="40"/>
        <v>2147540.7120000003</v>
      </c>
      <c r="U100" s="24">
        <f t="shared" si="40"/>
        <v>163666616</v>
      </c>
      <c r="V100" s="34">
        <f t="shared" si="40"/>
        <v>1363108</v>
      </c>
      <c r="W100" s="24">
        <f t="shared" si="40"/>
        <v>369595</v>
      </c>
      <c r="X100" s="24">
        <f t="shared" si="40"/>
        <v>357455</v>
      </c>
      <c r="Y100" s="35">
        <f t="shared" si="40"/>
        <v>32126803</v>
      </c>
      <c r="Z100" s="24"/>
      <c r="AA100" s="24"/>
      <c r="AB100" s="24"/>
      <c r="AC100" s="24"/>
      <c r="AD100" s="34">
        <f t="shared" si="26"/>
        <v>19305732</v>
      </c>
      <c r="AE100" s="24">
        <f t="shared" si="26"/>
        <v>5670974.5923199998</v>
      </c>
      <c r="AF100" s="24">
        <f t="shared" si="26"/>
        <v>6038533</v>
      </c>
      <c r="AG100" s="35">
        <f t="shared" si="26"/>
        <v>382657000</v>
      </c>
    </row>
    <row r="101" spans="1:33">
      <c r="A101" s="1" t="s">
        <v>117</v>
      </c>
      <c r="B101" s="34">
        <f t="shared" si="20"/>
        <v>21715561</v>
      </c>
      <c r="C101" s="24">
        <f t="shared" si="23"/>
        <v>6123278</v>
      </c>
      <c r="D101" s="24">
        <f t="shared" si="36"/>
        <v>6654257</v>
      </c>
      <c r="E101" s="24">
        <f t="shared" si="36"/>
        <v>613524190.88699996</v>
      </c>
      <c r="F101" s="34">
        <f t="shared" si="36"/>
        <v>10984477</v>
      </c>
      <c r="G101" s="24">
        <f t="shared" si="36"/>
        <v>2905959</v>
      </c>
      <c r="H101" s="24">
        <f t="shared" si="36"/>
        <v>3489929</v>
      </c>
      <c r="I101" s="35">
        <f t="shared" si="34"/>
        <v>192051916</v>
      </c>
      <c r="J101" s="24">
        <f t="shared" ref="J101:Y101" si="41">SUM(J43:J46)</f>
        <v>3306969</v>
      </c>
      <c r="K101" s="24">
        <f t="shared" si="41"/>
        <v>825493</v>
      </c>
      <c r="L101" s="24">
        <f t="shared" si="41"/>
        <v>430072</v>
      </c>
      <c r="M101" s="24">
        <f t="shared" si="41"/>
        <v>58533363</v>
      </c>
      <c r="N101" s="34">
        <f t="shared" si="41"/>
        <v>1448972</v>
      </c>
      <c r="O101" s="24">
        <f t="shared" si="41"/>
        <v>388684</v>
      </c>
      <c r="P101" s="24">
        <f t="shared" si="41"/>
        <v>302847</v>
      </c>
      <c r="Q101" s="35">
        <f t="shared" si="41"/>
        <v>34681138</v>
      </c>
      <c r="R101" s="24">
        <f t="shared" si="41"/>
        <v>10517753</v>
      </c>
      <c r="S101" s="24">
        <f t="shared" si="41"/>
        <v>2777140.7119999998</v>
      </c>
      <c r="T101" s="24">
        <f t="shared" si="41"/>
        <v>2564099.7120000003</v>
      </c>
      <c r="U101" s="24">
        <f t="shared" si="41"/>
        <v>173090915</v>
      </c>
      <c r="V101" s="34">
        <f t="shared" si="41"/>
        <v>1479569</v>
      </c>
      <c r="W101" s="24">
        <f t="shared" si="41"/>
        <v>439860</v>
      </c>
      <c r="X101" s="24">
        <f t="shared" si="41"/>
        <v>438037</v>
      </c>
      <c r="Y101" s="35">
        <f t="shared" si="41"/>
        <v>33859825</v>
      </c>
      <c r="Z101" s="24"/>
      <c r="AA101" s="24"/>
      <c r="AB101" s="24"/>
      <c r="AC101" s="24"/>
      <c r="AD101" s="34">
        <f t="shared" si="26"/>
        <v>20565116</v>
      </c>
      <c r="AE101" s="24">
        <f t="shared" si="26"/>
        <v>6292015</v>
      </c>
      <c r="AF101" s="24">
        <f t="shared" si="26"/>
        <v>6668685</v>
      </c>
      <c r="AG101" s="35">
        <f t="shared" si="26"/>
        <v>401498000</v>
      </c>
    </row>
    <row r="102" spans="1:33">
      <c r="A102" s="1" t="s">
        <v>118</v>
      </c>
      <c r="B102" s="34">
        <f t="shared" si="20"/>
        <v>22306547</v>
      </c>
      <c r="C102" s="24">
        <f t="shared" si="23"/>
        <v>6226349</v>
      </c>
      <c r="D102" s="24">
        <f t="shared" si="36"/>
        <v>6859511</v>
      </c>
      <c r="E102" s="24">
        <f t="shared" si="36"/>
        <v>617937292.88699996</v>
      </c>
      <c r="F102" s="34">
        <f t="shared" si="36"/>
        <v>11414326</v>
      </c>
      <c r="G102" s="24">
        <f t="shared" si="36"/>
        <v>3056787</v>
      </c>
      <c r="H102" s="24">
        <f t="shared" si="36"/>
        <v>3703011</v>
      </c>
      <c r="I102" s="35">
        <f t="shared" si="34"/>
        <v>194745697</v>
      </c>
      <c r="J102" s="24">
        <f t="shared" ref="J102:Y102" si="42">SUM(J44:J47)</f>
        <v>3427195</v>
      </c>
      <c r="K102" s="24">
        <f t="shared" si="42"/>
        <v>882034</v>
      </c>
      <c r="L102" s="24">
        <f t="shared" si="42"/>
        <v>490788</v>
      </c>
      <c r="M102" s="24">
        <f t="shared" si="42"/>
        <v>59328054</v>
      </c>
      <c r="N102" s="34">
        <f t="shared" si="42"/>
        <v>1516462</v>
      </c>
      <c r="O102" s="24">
        <f t="shared" si="42"/>
        <v>398431</v>
      </c>
      <c r="P102" s="24">
        <f t="shared" si="42"/>
        <v>312804</v>
      </c>
      <c r="Q102" s="35">
        <f t="shared" si="42"/>
        <v>35782558</v>
      </c>
      <c r="R102" s="24">
        <f t="shared" si="42"/>
        <v>10863751</v>
      </c>
      <c r="S102" s="24">
        <f t="shared" si="42"/>
        <v>2978924.7119999998</v>
      </c>
      <c r="T102" s="24">
        <f t="shared" si="42"/>
        <v>2767839.7120000003</v>
      </c>
      <c r="U102" s="24">
        <f t="shared" si="42"/>
        <v>176808052</v>
      </c>
      <c r="V102" s="34">
        <f t="shared" si="42"/>
        <v>1521880</v>
      </c>
      <c r="W102" s="24">
        <f t="shared" si="42"/>
        <v>437872</v>
      </c>
      <c r="X102" s="24">
        <f t="shared" si="42"/>
        <v>442847</v>
      </c>
      <c r="Y102" s="35">
        <f t="shared" si="42"/>
        <v>34610480</v>
      </c>
      <c r="Z102" s="24"/>
      <c r="AA102" s="24"/>
      <c r="AB102" s="24"/>
      <c r="AC102" s="24"/>
      <c r="AD102" s="34">
        <f t="shared" si="26"/>
        <v>21213003</v>
      </c>
      <c r="AE102" s="24">
        <f t="shared" si="26"/>
        <v>6566663</v>
      </c>
      <c r="AF102" s="24">
        <f t="shared" si="26"/>
        <v>6967752</v>
      </c>
      <c r="AG102" s="35">
        <f t="shared" si="26"/>
        <v>407899000</v>
      </c>
    </row>
    <row r="103" spans="1:33">
      <c r="A103" s="1" t="s">
        <v>119</v>
      </c>
      <c r="B103" s="34">
        <f t="shared" si="20"/>
        <v>22913195</v>
      </c>
      <c r="C103" s="24">
        <f t="shared" si="23"/>
        <v>6429663</v>
      </c>
      <c r="D103" s="24">
        <f t="shared" si="36"/>
        <v>7077963</v>
      </c>
      <c r="E103" s="24">
        <f t="shared" si="36"/>
        <v>621450534.88699996</v>
      </c>
      <c r="F103" s="34">
        <f t="shared" si="36"/>
        <v>11798814</v>
      </c>
      <c r="G103" s="24">
        <f t="shared" si="36"/>
        <v>3217139</v>
      </c>
      <c r="H103" s="24">
        <f t="shared" si="36"/>
        <v>3900684</v>
      </c>
      <c r="I103" s="35">
        <f t="shared" si="34"/>
        <v>194322739</v>
      </c>
      <c r="J103" s="24">
        <f t="shared" ref="J103:Y103" si="43">SUM(J45:J48)</f>
        <v>3525815</v>
      </c>
      <c r="K103" s="24">
        <f t="shared" si="43"/>
        <v>923549</v>
      </c>
      <c r="L103" s="24">
        <f t="shared" si="43"/>
        <v>556996</v>
      </c>
      <c r="M103" s="24">
        <f t="shared" si="43"/>
        <v>59028728</v>
      </c>
      <c r="N103" s="34">
        <f t="shared" si="43"/>
        <v>1572087</v>
      </c>
      <c r="O103" s="24">
        <f t="shared" si="43"/>
        <v>388579</v>
      </c>
      <c r="P103" s="24">
        <f t="shared" si="43"/>
        <v>302496</v>
      </c>
      <c r="Q103" s="35">
        <f t="shared" si="43"/>
        <v>35435863</v>
      </c>
      <c r="R103" s="24">
        <f t="shared" si="43"/>
        <v>11141650</v>
      </c>
      <c r="S103" s="24">
        <f t="shared" si="43"/>
        <v>3085882</v>
      </c>
      <c r="T103" s="24">
        <f t="shared" si="43"/>
        <v>2874168</v>
      </c>
      <c r="U103" s="24">
        <f t="shared" si="43"/>
        <v>178085069</v>
      </c>
      <c r="V103" s="34">
        <f t="shared" si="43"/>
        <v>1575619</v>
      </c>
      <c r="W103" s="24">
        <f t="shared" si="43"/>
        <v>476048</v>
      </c>
      <c r="X103" s="24">
        <f t="shared" si="43"/>
        <v>465745</v>
      </c>
      <c r="Y103" s="35">
        <f t="shared" si="43"/>
        <v>35242648</v>
      </c>
      <c r="Z103" s="24"/>
      <c r="AA103" s="24"/>
      <c r="AB103" s="24"/>
      <c r="AC103" s="24"/>
      <c r="AD103" s="34">
        <f t="shared" si="26"/>
        <v>21804317</v>
      </c>
      <c r="AE103" s="24">
        <f t="shared" si="26"/>
        <v>6889149</v>
      </c>
      <c r="AF103" s="24">
        <f t="shared" si="26"/>
        <v>7313928</v>
      </c>
      <c r="AG103" s="35">
        <f t="shared" si="26"/>
        <v>411273000</v>
      </c>
    </row>
    <row r="104" spans="1:33">
      <c r="A104" s="1" t="s">
        <v>120</v>
      </c>
      <c r="B104" s="34">
        <f t="shared" si="20"/>
        <v>23467405</v>
      </c>
      <c r="C104" s="24">
        <f t="shared" si="23"/>
        <v>6548587</v>
      </c>
      <c r="D104" s="24">
        <f t="shared" si="36"/>
        <v>7205565</v>
      </c>
      <c r="E104" s="24">
        <f t="shared" si="36"/>
        <v>624941301.88699996</v>
      </c>
      <c r="F104" s="34">
        <f t="shared" si="36"/>
        <v>12162196</v>
      </c>
      <c r="G104" s="24">
        <f t="shared" si="36"/>
        <v>3320338</v>
      </c>
      <c r="H104" s="24">
        <f t="shared" si="36"/>
        <v>4058201</v>
      </c>
      <c r="I104" s="35">
        <f t="shared" si="34"/>
        <v>193346440</v>
      </c>
      <c r="J104" s="24">
        <f t="shared" ref="J104:Y104" si="44">SUM(J46:J49)</f>
        <v>3658426</v>
      </c>
      <c r="K104" s="24">
        <f t="shared" si="44"/>
        <v>908130</v>
      </c>
      <c r="L104" s="24">
        <f t="shared" si="44"/>
        <v>459826</v>
      </c>
      <c r="M104" s="24">
        <f t="shared" si="44"/>
        <v>59479668</v>
      </c>
      <c r="N104" s="34">
        <f t="shared" si="44"/>
        <v>1629501</v>
      </c>
      <c r="O104" s="24">
        <f t="shared" si="44"/>
        <v>395077</v>
      </c>
      <c r="P104" s="24">
        <f t="shared" si="44"/>
        <v>308814</v>
      </c>
      <c r="Q104" s="35">
        <f t="shared" si="44"/>
        <v>35714198</v>
      </c>
      <c r="R104" s="24">
        <f t="shared" si="44"/>
        <v>11417993</v>
      </c>
      <c r="S104" s="24">
        <f t="shared" si="44"/>
        <v>3117059</v>
      </c>
      <c r="T104" s="24">
        <f t="shared" si="44"/>
        <v>2954022</v>
      </c>
      <c r="U104" s="24">
        <f t="shared" si="44"/>
        <v>178339539</v>
      </c>
      <c r="V104" s="34">
        <f t="shared" si="44"/>
        <v>1608887</v>
      </c>
      <c r="W104" s="24">
        <f t="shared" si="44"/>
        <v>478527</v>
      </c>
      <c r="X104" s="24">
        <f t="shared" si="44"/>
        <v>415247</v>
      </c>
      <c r="Y104" s="35">
        <f t="shared" si="44"/>
        <v>35352542</v>
      </c>
      <c r="Z104" s="24"/>
      <c r="AA104" s="24"/>
      <c r="AB104" s="24"/>
      <c r="AC104" s="24"/>
      <c r="AD104" s="34">
        <f t="shared" si="26"/>
        <v>22663639</v>
      </c>
      <c r="AE104" s="24">
        <f t="shared" si="26"/>
        <v>7192595</v>
      </c>
      <c r="AF104" s="24">
        <f t="shared" si="26"/>
        <v>7615567</v>
      </c>
      <c r="AG104" s="35">
        <f t="shared" si="26"/>
        <v>421101000</v>
      </c>
    </row>
    <row r="105" spans="1:33">
      <c r="A105" s="1" t="s">
        <v>122</v>
      </c>
      <c r="B105" s="34">
        <f t="shared" si="20"/>
        <v>24307558</v>
      </c>
      <c r="C105" s="24">
        <f t="shared" si="23"/>
        <v>6633024</v>
      </c>
      <c r="D105" s="24">
        <f t="shared" si="36"/>
        <v>7414472</v>
      </c>
      <c r="E105" s="24">
        <f t="shared" si="36"/>
        <v>621511811</v>
      </c>
      <c r="F105" s="34">
        <f t="shared" si="36"/>
        <v>12718281</v>
      </c>
      <c r="G105" s="24">
        <f t="shared" si="36"/>
        <v>3480273</v>
      </c>
      <c r="H105" s="24">
        <f t="shared" si="36"/>
        <v>4042933</v>
      </c>
      <c r="I105" s="35">
        <f t="shared" si="34"/>
        <v>193439932</v>
      </c>
      <c r="J105" s="24">
        <f t="shared" ref="J105:Y105" si="45">SUM(J47:J50)</f>
        <v>3864086</v>
      </c>
      <c r="K105" s="24">
        <f t="shared" si="45"/>
        <v>996924</v>
      </c>
      <c r="L105" s="24">
        <f t="shared" si="45"/>
        <v>551936</v>
      </c>
      <c r="M105" s="24">
        <f t="shared" si="45"/>
        <v>61427756</v>
      </c>
      <c r="N105" s="34">
        <f t="shared" si="45"/>
        <v>1691746</v>
      </c>
      <c r="O105" s="24">
        <f t="shared" si="45"/>
        <v>400189</v>
      </c>
      <c r="P105" s="24">
        <f t="shared" si="45"/>
        <v>313413</v>
      </c>
      <c r="Q105" s="35">
        <f t="shared" si="45"/>
        <v>35662351</v>
      </c>
      <c r="R105" s="24">
        <f t="shared" si="45"/>
        <v>11868185</v>
      </c>
      <c r="S105" s="24">
        <f t="shared" si="45"/>
        <v>3174448</v>
      </c>
      <c r="T105" s="24">
        <f t="shared" si="45"/>
        <v>3097475</v>
      </c>
      <c r="U105" s="24">
        <f t="shared" si="45"/>
        <v>178429972</v>
      </c>
      <c r="V105" s="34">
        <f t="shared" si="45"/>
        <v>1667113</v>
      </c>
      <c r="W105" s="24">
        <f t="shared" si="45"/>
        <v>476377</v>
      </c>
      <c r="X105" s="24">
        <f t="shared" si="45"/>
        <v>405527</v>
      </c>
      <c r="Y105" s="35">
        <f t="shared" si="45"/>
        <v>36319737</v>
      </c>
      <c r="Z105" s="24"/>
      <c r="AA105" s="24"/>
      <c r="AB105" s="24"/>
      <c r="AC105" s="24"/>
      <c r="AD105" s="34">
        <f t="shared" si="26"/>
        <v>23429018</v>
      </c>
      <c r="AE105" s="24">
        <f t="shared" si="26"/>
        <v>7218496</v>
      </c>
      <c r="AF105" s="24">
        <f t="shared" si="26"/>
        <v>7683546</v>
      </c>
      <c r="AG105" s="35">
        <f t="shared" si="26"/>
        <v>419731000</v>
      </c>
    </row>
    <row r="106" spans="1:33">
      <c r="A106" s="1" t="s">
        <v>124</v>
      </c>
      <c r="B106" s="34">
        <f t="shared" si="20"/>
        <v>25255551</v>
      </c>
      <c r="C106" s="24">
        <f t="shared" si="23"/>
        <v>6570874.9139799997</v>
      </c>
      <c r="D106" s="24">
        <f t="shared" si="36"/>
        <v>7512219.9139799997</v>
      </c>
      <c r="E106" s="24">
        <f t="shared" si="36"/>
        <v>618707317</v>
      </c>
      <c r="F106" s="34">
        <f t="shared" si="36"/>
        <v>13263389</v>
      </c>
      <c r="G106" s="24">
        <f t="shared" si="36"/>
        <v>3607720</v>
      </c>
      <c r="H106" s="24">
        <f t="shared" si="36"/>
        <v>4233188</v>
      </c>
      <c r="I106" s="35">
        <f t="shared" si="34"/>
        <v>194285115</v>
      </c>
      <c r="J106" s="24">
        <f t="shared" ref="J106:Y106" si="46">SUM(J48:J51)</f>
        <v>4049765</v>
      </c>
      <c r="K106" s="24">
        <f t="shared" si="46"/>
        <v>1039104</v>
      </c>
      <c r="L106" s="24">
        <f t="shared" si="46"/>
        <v>598244</v>
      </c>
      <c r="M106" s="24">
        <f t="shared" si="46"/>
        <v>62635386</v>
      </c>
      <c r="N106" s="34">
        <f t="shared" si="46"/>
        <v>1755437</v>
      </c>
      <c r="O106" s="24">
        <f t="shared" si="46"/>
        <v>413178.74209000001</v>
      </c>
      <c r="P106" s="24">
        <f t="shared" si="46"/>
        <v>326540</v>
      </c>
      <c r="Q106" s="35">
        <f t="shared" si="46"/>
        <v>34924155</v>
      </c>
      <c r="R106" s="24">
        <f t="shared" si="46"/>
        <v>12358864</v>
      </c>
      <c r="S106" s="24">
        <f t="shared" si="46"/>
        <v>3364592</v>
      </c>
      <c r="T106" s="24">
        <f t="shared" si="46"/>
        <v>3487051</v>
      </c>
      <c r="U106" s="24">
        <f t="shared" si="46"/>
        <v>178594273</v>
      </c>
      <c r="V106" s="34">
        <f t="shared" si="46"/>
        <v>1756945</v>
      </c>
      <c r="W106" s="24">
        <f t="shared" si="46"/>
        <v>532782</v>
      </c>
      <c r="X106" s="24">
        <f t="shared" si="46"/>
        <v>446009</v>
      </c>
      <c r="Y106" s="35">
        <f t="shared" si="46"/>
        <v>36881176</v>
      </c>
      <c r="Z106" s="24"/>
      <c r="AA106" s="24"/>
      <c r="AB106" s="24"/>
      <c r="AC106" s="24"/>
      <c r="AD106" s="34">
        <f t="shared" si="26"/>
        <v>24428591</v>
      </c>
      <c r="AE106" s="24">
        <f t="shared" si="26"/>
        <v>7360055</v>
      </c>
      <c r="AF106" s="24">
        <f t="shared" si="26"/>
        <v>7908571</v>
      </c>
      <c r="AG106" s="35">
        <f t="shared" si="26"/>
        <v>422665000</v>
      </c>
    </row>
    <row r="107" spans="1:33">
      <c r="A107" s="1" t="s">
        <v>126</v>
      </c>
      <c r="B107" s="34">
        <f t="shared" si="20"/>
        <v>25609516</v>
      </c>
      <c r="C107" s="24">
        <f t="shared" si="23"/>
        <v>6231490.9139799997</v>
      </c>
      <c r="D107" s="24">
        <f t="shared" ref="D107:H116" si="47">SUM(D49:D52)</f>
        <v>7589931.9139799997</v>
      </c>
      <c r="E107" s="24">
        <f t="shared" si="47"/>
        <v>605225515</v>
      </c>
      <c r="F107" s="34">
        <f t="shared" si="47"/>
        <v>13534467</v>
      </c>
      <c r="G107" s="24">
        <f t="shared" si="47"/>
        <v>3633590</v>
      </c>
      <c r="H107" s="24">
        <f t="shared" si="47"/>
        <v>4441259</v>
      </c>
      <c r="I107" s="35">
        <f t="shared" si="34"/>
        <v>193818434</v>
      </c>
      <c r="J107" s="24">
        <f t="shared" ref="J107:Y107" si="48">SUM(J49:J52)</f>
        <v>4177089</v>
      </c>
      <c r="K107" s="24">
        <f t="shared" si="48"/>
        <v>1069723</v>
      </c>
      <c r="L107" s="24">
        <f t="shared" si="48"/>
        <v>595841</v>
      </c>
      <c r="M107" s="24">
        <f t="shared" si="48"/>
        <v>62740123</v>
      </c>
      <c r="N107" s="34">
        <f t="shared" si="48"/>
        <v>1797430</v>
      </c>
      <c r="O107" s="24">
        <f t="shared" si="48"/>
        <v>444598.74300000002</v>
      </c>
      <c r="P107" s="24">
        <f t="shared" si="48"/>
        <v>359802.74300000002</v>
      </c>
      <c r="Q107" s="35">
        <f t="shared" si="48"/>
        <v>35618566</v>
      </c>
      <c r="R107" s="24">
        <f t="shared" si="48"/>
        <v>12744614</v>
      </c>
      <c r="S107" s="24">
        <f t="shared" si="48"/>
        <v>3321667</v>
      </c>
      <c r="T107" s="24">
        <f t="shared" si="48"/>
        <v>3726100</v>
      </c>
      <c r="U107" s="24">
        <f t="shared" si="48"/>
        <v>178629229</v>
      </c>
      <c r="V107" s="34">
        <f t="shared" si="48"/>
        <v>1799593</v>
      </c>
      <c r="W107" s="24">
        <f t="shared" si="48"/>
        <v>515204</v>
      </c>
      <c r="X107" s="24">
        <f t="shared" si="48"/>
        <v>453401</v>
      </c>
      <c r="Y107" s="35">
        <f t="shared" si="48"/>
        <v>36987849</v>
      </c>
      <c r="Z107" s="24"/>
      <c r="AA107" s="24"/>
      <c r="AB107" s="24"/>
      <c r="AC107" s="24"/>
      <c r="AD107" s="34">
        <f t="shared" si="26"/>
        <v>24875174</v>
      </c>
      <c r="AE107" s="24">
        <f t="shared" si="26"/>
        <v>7295205</v>
      </c>
      <c r="AF107" s="24">
        <f t="shared" si="26"/>
        <v>7850030</v>
      </c>
      <c r="AG107" s="35">
        <f t="shared" si="26"/>
        <v>420752000</v>
      </c>
    </row>
    <row r="108" spans="1:33" ht="10.5" customHeight="1">
      <c r="A108" s="1" t="s">
        <v>127</v>
      </c>
      <c r="B108" s="34">
        <f t="shared" si="20"/>
        <v>25729605</v>
      </c>
      <c r="C108" s="24">
        <f t="shared" si="23"/>
        <v>6039370.8539799992</v>
      </c>
      <c r="D108" s="24">
        <f t="shared" si="47"/>
        <v>7615524.2639799993</v>
      </c>
      <c r="E108" s="24">
        <f t="shared" si="47"/>
        <v>595837018</v>
      </c>
      <c r="F108" s="34">
        <f t="shared" si="47"/>
        <v>13804782</v>
      </c>
      <c r="G108" s="24">
        <f t="shared" si="47"/>
        <v>3716737</v>
      </c>
      <c r="H108" s="24">
        <f t="shared" si="47"/>
        <v>4695273</v>
      </c>
      <c r="I108" s="35">
        <f t="shared" si="34"/>
        <v>195703500</v>
      </c>
      <c r="J108" s="24">
        <f t="shared" ref="J108:Y108" si="49">SUM(J50:J53)</f>
        <v>4227041</v>
      </c>
      <c r="K108" s="24">
        <f t="shared" si="49"/>
        <v>1167698</v>
      </c>
      <c r="L108" s="24">
        <f t="shared" si="49"/>
        <v>767484</v>
      </c>
      <c r="M108" s="24">
        <f t="shared" si="49"/>
        <v>62136847</v>
      </c>
      <c r="N108" s="34">
        <f t="shared" si="49"/>
        <v>1818091</v>
      </c>
      <c r="O108" s="24">
        <f t="shared" si="49"/>
        <v>434236.74300000002</v>
      </c>
      <c r="P108" s="24">
        <f t="shared" si="49"/>
        <v>349099.74300000002</v>
      </c>
      <c r="Q108" s="35">
        <f t="shared" si="49"/>
        <v>35611922</v>
      </c>
      <c r="R108" s="24">
        <f t="shared" si="49"/>
        <v>12961610</v>
      </c>
      <c r="S108" s="24">
        <f t="shared" si="49"/>
        <v>2979734</v>
      </c>
      <c r="T108" s="24">
        <f t="shared" si="49"/>
        <v>3661994</v>
      </c>
      <c r="U108" s="24">
        <f t="shared" si="49"/>
        <v>178863268</v>
      </c>
      <c r="V108" s="34">
        <f t="shared" si="49"/>
        <v>1889988</v>
      </c>
      <c r="W108" s="24">
        <f t="shared" si="49"/>
        <v>554466</v>
      </c>
      <c r="X108" s="24">
        <f t="shared" si="49"/>
        <v>508901</v>
      </c>
      <c r="Y108" s="35">
        <f t="shared" si="49"/>
        <v>36942822</v>
      </c>
      <c r="Z108" s="24"/>
      <c r="AA108" s="24"/>
      <c r="AB108" s="24"/>
      <c r="AC108" s="24"/>
      <c r="AD108" s="34">
        <f t="shared" ref="AD108:AG118" si="50">SUM(AD50:AD53)</f>
        <v>25067565</v>
      </c>
      <c r="AE108" s="24">
        <f t="shared" si="50"/>
        <v>7181112</v>
      </c>
      <c r="AF108" s="24">
        <f t="shared" si="50"/>
        <v>7829491</v>
      </c>
      <c r="AG108" s="35">
        <f t="shared" si="50"/>
        <v>417386000</v>
      </c>
    </row>
    <row r="109" spans="1:33" ht="10.5" customHeight="1">
      <c r="A109" s="1" t="s">
        <v>128</v>
      </c>
      <c r="B109" s="34">
        <f t="shared" si="20"/>
        <v>24962086</v>
      </c>
      <c r="C109" s="24">
        <f t="shared" si="23"/>
        <v>5607786.8539799992</v>
      </c>
      <c r="D109" s="24">
        <f t="shared" si="47"/>
        <v>7340817.2639799993</v>
      </c>
      <c r="E109" s="24">
        <f t="shared" si="47"/>
        <v>581850330</v>
      </c>
      <c r="F109" s="34">
        <f t="shared" si="47"/>
        <v>13709301</v>
      </c>
      <c r="G109" s="24">
        <f t="shared" si="47"/>
        <v>3689219</v>
      </c>
      <c r="H109" s="24">
        <f t="shared" si="47"/>
        <v>4614742</v>
      </c>
      <c r="I109" s="35">
        <f t="shared" si="34"/>
        <v>195798563</v>
      </c>
      <c r="J109" s="24">
        <f t="shared" ref="J109:Y109" si="51">SUM(J51:J54)</f>
        <v>4094444</v>
      </c>
      <c r="K109" s="24">
        <f t="shared" si="51"/>
        <v>1083214</v>
      </c>
      <c r="L109" s="24">
        <f t="shared" si="51"/>
        <v>658446</v>
      </c>
      <c r="M109" s="24">
        <f t="shared" si="51"/>
        <v>59350493</v>
      </c>
      <c r="N109" s="34">
        <f t="shared" si="51"/>
        <v>1794980</v>
      </c>
      <c r="O109" s="24">
        <f t="shared" si="51"/>
        <v>360766.3725</v>
      </c>
      <c r="P109" s="24">
        <f t="shared" si="51"/>
        <v>277058.64300000004</v>
      </c>
      <c r="Q109" s="35">
        <f t="shared" si="51"/>
        <v>35181618</v>
      </c>
      <c r="R109" s="24">
        <f t="shared" si="51"/>
        <v>12692400</v>
      </c>
      <c r="S109" s="24">
        <f t="shared" si="51"/>
        <v>2407453</v>
      </c>
      <c r="T109" s="24">
        <f t="shared" si="51"/>
        <v>3281689</v>
      </c>
      <c r="U109" s="24">
        <f t="shared" si="51"/>
        <v>177345175</v>
      </c>
      <c r="V109" s="34">
        <f t="shared" si="51"/>
        <v>1862688</v>
      </c>
      <c r="W109" s="24">
        <f t="shared" si="51"/>
        <v>531006.53830999997</v>
      </c>
      <c r="X109" s="24">
        <f t="shared" si="51"/>
        <v>499594.53831000003</v>
      </c>
      <c r="Y109" s="35">
        <f t="shared" si="51"/>
        <v>35943783</v>
      </c>
      <c r="Z109" s="24"/>
      <c r="AA109" s="24"/>
      <c r="AB109" s="24"/>
      <c r="AC109" s="24"/>
      <c r="AD109" s="34">
        <f t="shared" si="50"/>
        <v>24749022</v>
      </c>
      <c r="AE109" s="24">
        <f t="shared" si="50"/>
        <v>7020754</v>
      </c>
      <c r="AF109" s="24">
        <f t="shared" si="50"/>
        <v>7565504</v>
      </c>
      <c r="AG109" s="35">
        <f t="shared" si="50"/>
        <v>415499000</v>
      </c>
    </row>
    <row r="110" spans="1:33">
      <c r="A110" s="1" t="s">
        <v>129</v>
      </c>
      <c r="B110" s="34">
        <f t="shared" si="20"/>
        <v>24128644</v>
      </c>
      <c r="C110" s="24">
        <f t="shared" si="23"/>
        <v>5342217.9399999995</v>
      </c>
      <c r="D110" s="24">
        <f t="shared" si="47"/>
        <v>7126888.3499999996</v>
      </c>
      <c r="E110" s="24">
        <f t="shared" si="47"/>
        <v>576681432</v>
      </c>
      <c r="F110" s="34">
        <f t="shared" si="47"/>
        <v>13416612</v>
      </c>
      <c r="G110" s="24">
        <f t="shared" si="47"/>
        <v>3430039</v>
      </c>
      <c r="H110" s="24">
        <f t="shared" si="47"/>
        <v>4435258</v>
      </c>
      <c r="I110" s="35">
        <f t="shared" si="34"/>
        <v>195173025</v>
      </c>
      <c r="J110" s="24">
        <f t="shared" ref="J110:Y110" si="52">SUM(J52:J55)</f>
        <v>3937019</v>
      </c>
      <c r="K110" s="24">
        <f t="shared" si="52"/>
        <v>993554</v>
      </c>
      <c r="L110" s="24">
        <f t="shared" si="52"/>
        <v>545789</v>
      </c>
      <c r="M110" s="24">
        <f t="shared" si="52"/>
        <v>57776579</v>
      </c>
      <c r="N110" s="34">
        <f t="shared" si="52"/>
        <v>1763391</v>
      </c>
      <c r="O110" s="24">
        <f t="shared" si="52"/>
        <v>309541.63040999998</v>
      </c>
      <c r="P110" s="24">
        <f t="shared" si="52"/>
        <v>226759.64300000001</v>
      </c>
      <c r="Q110" s="35">
        <f t="shared" si="52"/>
        <v>35884549</v>
      </c>
      <c r="R110" s="24">
        <f t="shared" si="52"/>
        <v>12319324</v>
      </c>
      <c r="S110" s="24">
        <f t="shared" si="52"/>
        <v>1852662</v>
      </c>
      <c r="T110" s="24">
        <f t="shared" si="52"/>
        <v>2931084</v>
      </c>
      <c r="U110" s="24">
        <f t="shared" si="52"/>
        <v>175290963</v>
      </c>
      <c r="V110" s="34">
        <f t="shared" si="52"/>
        <v>1843322</v>
      </c>
      <c r="W110" s="24">
        <f t="shared" si="52"/>
        <v>505993.12940000009</v>
      </c>
      <c r="X110" s="24">
        <f t="shared" si="52"/>
        <v>500879.00000000006</v>
      </c>
      <c r="Y110" s="35">
        <f t="shared" si="52"/>
        <v>35955362</v>
      </c>
      <c r="Z110" s="24"/>
      <c r="AA110" s="24"/>
      <c r="AB110" s="24"/>
      <c r="AC110" s="24"/>
      <c r="AD110" s="34">
        <f t="shared" si="50"/>
        <v>24110626</v>
      </c>
      <c r="AE110" s="24">
        <f t="shared" si="50"/>
        <v>6726522</v>
      </c>
      <c r="AF110" s="24">
        <f t="shared" si="50"/>
        <v>7190500</v>
      </c>
      <c r="AG110" s="35">
        <f t="shared" si="50"/>
        <v>411283000</v>
      </c>
    </row>
    <row r="111" spans="1:33">
      <c r="A111" s="1" t="s">
        <v>130</v>
      </c>
      <c r="B111" s="34">
        <f t="shared" si="20"/>
        <v>23831387</v>
      </c>
      <c r="C111" s="24">
        <f t="shared" si="23"/>
        <v>5237942.9399999995</v>
      </c>
      <c r="D111" s="24">
        <f t="shared" si="47"/>
        <v>6956645.3499999996</v>
      </c>
      <c r="E111" s="24">
        <f t="shared" si="47"/>
        <v>579003484</v>
      </c>
      <c r="F111" s="34">
        <f t="shared" si="47"/>
        <v>13384225</v>
      </c>
      <c r="G111" s="36">
        <f t="shared" si="47"/>
        <v>3353949</v>
      </c>
      <c r="H111" s="24">
        <f t="shared" si="47"/>
        <v>4379740</v>
      </c>
      <c r="I111" s="35">
        <f t="shared" si="34"/>
        <v>196404612</v>
      </c>
      <c r="J111" s="24">
        <f t="shared" ref="J111:Y111" si="53">SUM(J53:J56)</f>
        <v>3839986</v>
      </c>
      <c r="K111" s="24">
        <f t="shared" si="53"/>
        <v>932988</v>
      </c>
      <c r="L111" s="24">
        <f t="shared" si="53"/>
        <v>473206</v>
      </c>
      <c r="M111" s="24">
        <f t="shared" si="53"/>
        <v>57149470</v>
      </c>
      <c r="N111" s="34">
        <f t="shared" si="53"/>
        <v>1756748</v>
      </c>
      <c r="O111" s="24">
        <f t="shared" si="53"/>
        <v>307107.62949999998</v>
      </c>
      <c r="P111" s="24">
        <f t="shared" si="53"/>
        <v>227672.9</v>
      </c>
      <c r="Q111" s="35">
        <f t="shared" si="53"/>
        <v>35938492</v>
      </c>
      <c r="R111" s="24">
        <f t="shared" si="53"/>
        <v>12156134</v>
      </c>
      <c r="S111" s="24">
        <f t="shared" si="53"/>
        <v>1567297</v>
      </c>
      <c r="T111" s="24">
        <f t="shared" si="53"/>
        <v>2767857</v>
      </c>
      <c r="U111" s="24">
        <f t="shared" si="53"/>
        <v>176045660</v>
      </c>
      <c r="V111" s="34">
        <f t="shared" si="53"/>
        <v>1767675</v>
      </c>
      <c r="W111" s="24">
        <f t="shared" si="53"/>
        <v>422163.93771000009</v>
      </c>
      <c r="X111" s="24">
        <f t="shared" si="53"/>
        <v>419946.00000000006</v>
      </c>
      <c r="Y111" s="35">
        <f t="shared" si="53"/>
        <v>36366760</v>
      </c>
      <c r="Z111" s="24"/>
      <c r="AA111" s="24"/>
      <c r="AB111" s="24"/>
      <c r="AC111" s="24"/>
      <c r="AD111" s="34">
        <f t="shared" si="50"/>
        <v>24044536</v>
      </c>
      <c r="AE111" s="24">
        <f t="shared" si="50"/>
        <v>6716708.8399999999</v>
      </c>
      <c r="AF111" s="24">
        <f t="shared" si="50"/>
        <v>7127622.8399999999</v>
      </c>
      <c r="AG111" s="35">
        <f t="shared" si="50"/>
        <v>413299000</v>
      </c>
    </row>
    <row r="112" spans="1:33" ht="10.5" customHeight="1">
      <c r="A112" s="1" t="s">
        <v>139</v>
      </c>
      <c r="B112" s="34">
        <f t="shared" si="20"/>
        <v>23573582</v>
      </c>
      <c r="C112" s="24">
        <f t="shared" si="23"/>
        <v>5079372</v>
      </c>
      <c r="D112" s="24">
        <f t="shared" si="47"/>
        <v>6942774</v>
      </c>
      <c r="E112" s="24">
        <f t="shared" si="47"/>
        <v>576957697</v>
      </c>
      <c r="F112" s="34">
        <f t="shared" si="47"/>
        <v>13376736</v>
      </c>
      <c r="G112" s="24">
        <f t="shared" si="47"/>
        <v>3292309</v>
      </c>
      <c r="H112" s="24">
        <f t="shared" si="47"/>
        <v>4306145</v>
      </c>
      <c r="I112" s="35">
        <f t="shared" si="34"/>
        <v>197027219</v>
      </c>
      <c r="J112" s="24">
        <f t="shared" ref="J112:M118" si="54">SUM(J54:J57)</f>
        <v>3755378</v>
      </c>
      <c r="K112" s="24">
        <f t="shared" si="54"/>
        <v>873397</v>
      </c>
      <c r="L112" s="24">
        <f t="shared" si="54"/>
        <v>401927</v>
      </c>
      <c r="M112" s="24">
        <f t="shared" si="54"/>
        <v>56101103</v>
      </c>
      <c r="N112" s="34"/>
      <c r="O112" s="24"/>
      <c r="P112" s="24"/>
      <c r="Q112" s="35"/>
      <c r="R112" s="24">
        <f t="shared" ref="R112:U118" si="55">SUM(R54:R57)</f>
        <v>12028040</v>
      </c>
      <c r="S112" s="24">
        <f t="shared" si="55"/>
        <v>1194571</v>
      </c>
      <c r="T112" s="24">
        <f t="shared" si="55"/>
        <v>2423395</v>
      </c>
      <c r="U112" s="24">
        <f t="shared" si="55"/>
        <v>176423060</v>
      </c>
      <c r="V112" s="34"/>
      <c r="W112" s="24"/>
      <c r="X112" s="24"/>
      <c r="Y112" s="35"/>
      <c r="Z112" s="24"/>
      <c r="AA112" s="24"/>
      <c r="AB112" s="24"/>
      <c r="AC112" s="24"/>
      <c r="AD112" s="34">
        <f t="shared" si="50"/>
        <v>24012119</v>
      </c>
      <c r="AE112" s="24">
        <f t="shared" si="50"/>
        <v>6829926.8399999999</v>
      </c>
      <c r="AF112" s="24">
        <f t="shared" si="50"/>
        <v>7132896.8399999999</v>
      </c>
      <c r="AG112" s="35">
        <f t="shared" si="50"/>
        <v>410738000</v>
      </c>
    </row>
    <row r="113" spans="1:33" ht="10.5" customHeight="1">
      <c r="A113" s="1" t="s">
        <v>140</v>
      </c>
      <c r="B113" s="34">
        <f t="shared" si="20"/>
        <v>23601192</v>
      </c>
      <c r="C113" s="24">
        <f t="shared" si="23"/>
        <v>5034495</v>
      </c>
      <c r="D113" s="24">
        <f t="shared" si="47"/>
        <v>7005517</v>
      </c>
      <c r="E113" s="24">
        <f t="shared" si="47"/>
        <v>574659651</v>
      </c>
      <c r="F113" s="34">
        <f t="shared" si="47"/>
        <v>13387922</v>
      </c>
      <c r="G113" s="24">
        <f t="shared" si="47"/>
        <v>3321345.2927466938</v>
      </c>
      <c r="H113" s="24">
        <f t="shared" si="47"/>
        <v>4440363.2927466938</v>
      </c>
      <c r="I113" s="35">
        <f t="shared" si="34"/>
        <v>197617352</v>
      </c>
      <c r="J113" s="24">
        <f t="shared" si="54"/>
        <v>3771860</v>
      </c>
      <c r="K113" s="24">
        <f t="shared" si="54"/>
        <v>873903</v>
      </c>
      <c r="L113" s="24">
        <f t="shared" si="54"/>
        <v>395691</v>
      </c>
      <c r="M113" s="24">
        <f t="shared" si="54"/>
        <v>55970218</v>
      </c>
      <c r="N113" s="34"/>
      <c r="O113" s="24"/>
      <c r="P113" s="24"/>
      <c r="Q113" s="35"/>
      <c r="R113" s="24">
        <f t="shared" si="55"/>
        <v>12091718</v>
      </c>
      <c r="S113" s="24">
        <f t="shared" si="55"/>
        <v>1600678</v>
      </c>
      <c r="T113" s="24">
        <f t="shared" si="55"/>
        <v>2879092</v>
      </c>
      <c r="U113" s="24">
        <f t="shared" si="55"/>
        <v>176554281</v>
      </c>
      <c r="V113" s="34"/>
      <c r="W113" s="24"/>
      <c r="X113" s="24"/>
      <c r="Y113" s="35"/>
      <c r="Z113" s="24"/>
      <c r="AA113" s="24"/>
      <c r="AB113" s="24"/>
      <c r="AC113" s="24"/>
      <c r="AD113" s="34">
        <f t="shared" si="50"/>
        <v>24052974</v>
      </c>
      <c r="AE113" s="24">
        <f t="shared" si="50"/>
        <v>6892296.8399999999</v>
      </c>
      <c r="AF113" s="24">
        <f t="shared" si="50"/>
        <v>7213841.8399999999</v>
      </c>
      <c r="AG113" s="35">
        <f t="shared" si="50"/>
        <v>409232000</v>
      </c>
    </row>
    <row r="114" spans="1:33">
      <c r="A114" s="1" t="s">
        <v>141</v>
      </c>
      <c r="B114" s="34">
        <f t="shared" si="20"/>
        <v>23781903</v>
      </c>
      <c r="C114" s="24">
        <f t="shared" si="23"/>
        <v>5194151</v>
      </c>
      <c r="D114" s="24">
        <f t="shared" si="47"/>
        <v>7218067</v>
      </c>
      <c r="E114" s="24">
        <f t="shared" si="47"/>
        <v>578519690</v>
      </c>
      <c r="F114" s="34">
        <f t="shared" si="47"/>
        <v>13438166</v>
      </c>
      <c r="G114" s="24">
        <f t="shared" si="47"/>
        <v>3398948.2927466938</v>
      </c>
      <c r="H114" s="24">
        <f t="shared" si="47"/>
        <v>4548345.2927466938</v>
      </c>
      <c r="I114" s="35">
        <f t="shared" si="34"/>
        <v>198450883</v>
      </c>
      <c r="J114" s="24">
        <f t="shared" si="54"/>
        <v>3774552</v>
      </c>
      <c r="K114" s="24">
        <f t="shared" si="54"/>
        <v>846236</v>
      </c>
      <c r="L114" s="24">
        <f t="shared" si="54"/>
        <v>374724</v>
      </c>
      <c r="M114" s="24">
        <f t="shared" si="54"/>
        <v>56167379</v>
      </c>
      <c r="N114" s="34"/>
      <c r="O114" s="24"/>
      <c r="P114" s="24"/>
      <c r="Q114" s="35"/>
      <c r="R114" s="24">
        <f t="shared" si="55"/>
        <v>12173310</v>
      </c>
      <c r="S114" s="24">
        <f t="shared" si="55"/>
        <v>1822547</v>
      </c>
      <c r="T114" s="24">
        <f t="shared" si="55"/>
        <v>3467943</v>
      </c>
      <c r="U114" s="24">
        <f t="shared" si="55"/>
        <v>177803537</v>
      </c>
      <c r="V114" s="34"/>
      <c r="W114" s="24"/>
      <c r="X114" s="24"/>
      <c r="Y114" s="35"/>
      <c r="Z114" s="24"/>
      <c r="AA114" s="24"/>
      <c r="AB114" s="24"/>
      <c r="AC114" s="24"/>
      <c r="AD114" s="34">
        <f t="shared" si="50"/>
        <v>24200932</v>
      </c>
      <c r="AE114" s="24">
        <f t="shared" si="50"/>
        <v>7019585.8399999999</v>
      </c>
      <c r="AF114" s="24">
        <f t="shared" si="50"/>
        <v>7399971.8399999999</v>
      </c>
      <c r="AG114" s="35">
        <f t="shared" si="50"/>
        <v>410235000</v>
      </c>
    </row>
    <row r="115" spans="1:33">
      <c r="A115" s="1" t="s">
        <v>142</v>
      </c>
      <c r="B115" s="34">
        <f t="shared" si="20"/>
        <v>23746979</v>
      </c>
      <c r="C115" s="24">
        <f t="shared" si="23"/>
        <v>5165038</v>
      </c>
      <c r="D115" s="24">
        <f t="shared" si="47"/>
        <v>7096841</v>
      </c>
      <c r="E115" s="24">
        <f t="shared" si="47"/>
        <v>577677945</v>
      </c>
      <c r="F115" s="34">
        <f t="shared" si="47"/>
        <v>13278319</v>
      </c>
      <c r="G115" s="24">
        <f t="shared" si="47"/>
        <v>3304661.2927466938</v>
      </c>
      <c r="H115" s="24">
        <f t="shared" si="47"/>
        <v>4445303.2927466938</v>
      </c>
      <c r="I115" s="35">
        <f t="shared" si="34"/>
        <v>198376027</v>
      </c>
      <c r="J115" s="24">
        <f t="shared" si="54"/>
        <v>3726732</v>
      </c>
      <c r="K115" s="24">
        <f t="shared" si="54"/>
        <v>809779</v>
      </c>
      <c r="L115" s="24">
        <f t="shared" si="54"/>
        <v>342693</v>
      </c>
      <c r="M115" s="24">
        <f t="shared" si="54"/>
        <v>56047959</v>
      </c>
      <c r="N115" s="34"/>
      <c r="O115" s="24"/>
      <c r="P115" s="24"/>
      <c r="Q115" s="35"/>
      <c r="R115" s="24">
        <f t="shared" si="55"/>
        <v>12122467</v>
      </c>
      <c r="S115" s="24">
        <f t="shared" si="55"/>
        <v>2066534</v>
      </c>
      <c r="T115" s="24">
        <f t="shared" si="55"/>
        <v>3671936</v>
      </c>
      <c r="U115" s="24">
        <f t="shared" si="55"/>
        <v>178039200</v>
      </c>
      <c r="V115" s="34"/>
      <c r="W115" s="24"/>
      <c r="X115" s="24"/>
      <c r="Y115" s="35"/>
      <c r="Z115" s="24">
        <f t="shared" ref="Z115:AC118" si="56">SUM(Z57:Z60)</f>
        <v>3597668</v>
      </c>
      <c r="AA115" s="24">
        <f t="shared" si="56"/>
        <v>831811.80830999999</v>
      </c>
      <c r="AB115" s="24">
        <f t="shared" si="56"/>
        <v>778093</v>
      </c>
      <c r="AC115" s="24">
        <f t="shared" si="56"/>
        <v>73567826</v>
      </c>
      <c r="AD115" s="34">
        <f t="shared" si="50"/>
        <v>24193294</v>
      </c>
      <c r="AE115" s="24">
        <f t="shared" si="50"/>
        <v>6991558</v>
      </c>
      <c r="AF115" s="24">
        <f t="shared" si="50"/>
        <v>7399551</v>
      </c>
      <c r="AG115" s="35">
        <f t="shared" si="50"/>
        <v>409716000</v>
      </c>
    </row>
    <row r="116" spans="1:33">
      <c r="A116" s="1" t="s">
        <v>146</v>
      </c>
      <c r="B116" s="34">
        <f t="shared" si="20"/>
        <v>23781750</v>
      </c>
      <c r="C116" s="24">
        <f t="shared" si="23"/>
        <v>5279196</v>
      </c>
      <c r="D116" s="24">
        <f t="shared" si="47"/>
        <v>7104539</v>
      </c>
      <c r="E116" s="24">
        <f t="shared" si="47"/>
        <v>575463348</v>
      </c>
      <c r="F116" s="34">
        <f t="shared" si="47"/>
        <v>13031064.677000001</v>
      </c>
      <c r="G116" s="24">
        <f t="shared" si="47"/>
        <v>3100077.2737466935</v>
      </c>
      <c r="H116" s="24">
        <f t="shared" si="47"/>
        <v>4244818.4197466942</v>
      </c>
      <c r="I116" s="35">
        <f t="shared" si="34"/>
        <v>197286812.28100002</v>
      </c>
      <c r="J116" s="24">
        <f t="shared" si="54"/>
        <v>3726523.8829999999</v>
      </c>
      <c r="K116" s="24">
        <f t="shared" si="54"/>
        <v>813748.53300000005</v>
      </c>
      <c r="L116" s="24">
        <f t="shared" si="54"/>
        <v>374323.97399999999</v>
      </c>
      <c r="M116" s="24">
        <f t="shared" si="54"/>
        <v>56456369.144000001</v>
      </c>
      <c r="N116" s="34"/>
      <c r="O116" s="24"/>
      <c r="P116" s="24"/>
      <c r="Q116" s="35"/>
      <c r="R116" s="24">
        <f t="shared" si="55"/>
        <v>12111680.249</v>
      </c>
      <c r="S116" s="24">
        <f t="shared" si="55"/>
        <v>2730388.4929999998</v>
      </c>
      <c r="T116" s="24">
        <f t="shared" si="55"/>
        <v>4363466.2689999994</v>
      </c>
      <c r="U116" s="24">
        <f t="shared" si="55"/>
        <v>178676313</v>
      </c>
      <c r="V116" s="34"/>
      <c r="W116" s="24"/>
      <c r="X116" s="24"/>
      <c r="Y116" s="35"/>
      <c r="Z116" s="24">
        <f t="shared" si="56"/>
        <v>3642121.1919999998</v>
      </c>
      <c r="AA116" s="24">
        <f t="shared" si="56"/>
        <v>865806.99100000015</v>
      </c>
      <c r="AB116" s="24">
        <f t="shared" si="56"/>
        <v>801737.71800000011</v>
      </c>
      <c r="AC116" s="24">
        <f t="shared" si="56"/>
        <v>73991527.425999999</v>
      </c>
      <c r="AD116" s="34">
        <f t="shared" si="50"/>
        <v>24184262</v>
      </c>
      <c r="AE116" s="24">
        <f t="shared" si="50"/>
        <v>6972869</v>
      </c>
      <c r="AF116" s="24">
        <f t="shared" si="50"/>
        <v>7429813</v>
      </c>
      <c r="AG116" s="35">
        <f t="shared" si="50"/>
        <v>412462000</v>
      </c>
    </row>
    <row r="117" spans="1:33">
      <c r="A117" s="1" t="s">
        <v>147</v>
      </c>
      <c r="B117" s="34">
        <f t="shared" si="20"/>
        <v>23784891</v>
      </c>
      <c r="C117" s="24">
        <f t="shared" si="23"/>
        <v>5535239</v>
      </c>
      <c r="D117" s="24">
        <f t="shared" ref="D117:H118" si="57">SUM(D59:D62)</f>
        <v>7266172</v>
      </c>
      <c r="E117" s="24">
        <f t="shared" si="57"/>
        <v>576389682</v>
      </c>
      <c r="F117" s="34">
        <f t="shared" si="57"/>
        <v>12905964.605</v>
      </c>
      <c r="G117" s="24">
        <f t="shared" si="57"/>
        <v>2941227.9649999999</v>
      </c>
      <c r="H117" s="24">
        <f t="shared" si="57"/>
        <v>4085885.0149999997</v>
      </c>
      <c r="I117" s="35">
        <f t="shared" si="34"/>
        <v>199045118.94200003</v>
      </c>
      <c r="J117" s="24">
        <f t="shared" si="54"/>
        <v>3678689.9359999998</v>
      </c>
      <c r="K117" s="24">
        <f t="shared" si="54"/>
        <v>778945.26699999999</v>
      </c>
      <c r="L117" s="24">
        <f t="shared" si="54"/>
        <v>350670.39199999988</v>
      </c>
      <c r="M117" s="24">
        <f t="shared" si="54"/>
        <v>55827689.211999997</v>
      </c>
      <c r="N117" s="34"/>
      <c r="O117" s="24"/>
      <c r="P117" s="24"/>
      <c r="Q117" s="35"/>
      <c r="R117" s="24">
        <f t="shared" si="55"/>
        <v>12176993.082</v>
      </c>
      <c r="S117" s="24">
        <f t="shared" si="55"/>
        <v>2746650.1949999998</v>
      </c>
      <c r="T117" s="24">
        <f t="shared" si="55"/>
        <v>4371822.1440000003</v>
      </c>
      <c r="U117" s="24">
        <f t="shared" si="55"/>
        <v>181187258</v>
      </c>
      <c r="V117" s="34"/>
      <c r="W117" s="24"/>
      <c r="X117" s="24"/>
      <c r="Y117" s="35"/>
      <c r="Z117" s="24">
        <f t="shared" si="56"/>
        <v>3636389.0749999997</v>
      </c>
      <c r="AA117" s="24">
        <f t="shared" si="56"/>
        <v>848740.02500000014</v>
      </c>
      <c r="AB117" s="24">
        <f t="shared" si="56"/>
        <v>789418.62800000003</v>
      </c>
      <c r="AC117" s="24">
        <f t="shared" si="56"/>
        <v>73947823.09799999</v>
      </c>
      <c r="AD117" s="34">
        <f t="shared" si="50"/>
        <v>24328715</v>
      </c>
      <c r="AE117" s="24">
        <f t="shared" si="50"/>
        <v>7161982</v>
      </c>
      <c r="AF117" s="24">
        <f t="shared" si="50"/>
        <v>7693244</v>
      </c>
      <c r="AG117" s="35">
        <f t="shared" si="50"/>
        <v>420020000</v>
      </c>
    </row>
    <row r="118" spans="1:33">
      <c r="A118" s="1" t="s">
        <v>148</v>
      </c>
      <c r="B118" s="34">
        <f t="shared" si="20"/>
        <v>23891405</v>
      </c>
      <c r="C118" s="24">
        <f t="shared" si="23"/>
        <v>5657737</v>
      </c>
      <c r="D118" s="24">
        <f t="shared" si="57"/>
        <v>7251478</v>
      </c>
      <c r="E118" s="24">
        <f t="shared" si="57"/>
        <v>574267525</v>
      </c>
      <c r="F118" s="34">
        <f t="shared" si="57"/>
        <v>12878278.67</v>
      </c>
      <c r="G118" s="24">
        <f t="shared" si="57"/>
        <v>2886761.8019999997</v>
      </c>
      <c r="H118" s="24">
        <f t="shared" si="57"/>
        <v>4015619.8549999995</v>
      </c>
      <c r="I118" s="35">
        <f t="shared" si="34"/>
        <v>200769518.82100001</v>
      </c>
      <c r="J118" s="24">
        <f t="shared" si="54"/>
        <v>3677223.6429999997</v>
      </c>
      <c r="K118" s="24">
        <f t="shared" si="54"/>
        <v>778423.37699999986</v>
      </c>
      <c r="L118" s="24">
        <f t="shared" si="54"/>
        <v>355775.40599999996</v>
      </c>
      <c r="M118" s="24">
        <f t="shared" si="54"/>
        <v>55496199.987999998</v>
      </c>
      <c r="N118" s="34"/>
      <c r="O118" s="24"/>
      <c r="P118" s="24"/>
      <c r="Q118" s="35"/>
      <c r="R118" s="24">
        <f t="shared" si="55"/>
        <v>12229221.969000001</v>
      </c>
      <c r="S118" s="24">
        <f t="shared" si="55"/>
        <v>2711019.1109999996</v>
      </c>
      <c r="T118" s="24">
        <f t="shared" si="55"/>
        <v>3994519.1499999994</v>
      </c>
      <c r="U118" s="24">
        <f t="shared" si="55"/>
        <v>183549694</v>
      </c>
      <c r="V118" s="34"/>
      <c r="W118" s="24"/>
      <c r="X118" s="24"/>
      <c r="Y118" s="35"/>
      <c r="Z118" s="24">
        <f t="shared" si="56"/>
        <v>3619651.2410000004</v>
      </c>
      <c r="AA118" s="24">
        <f t="shared" si="56"/>
        <v>870899.39199999999</v>
      </c>
      <c r="AB118" s="24">
        <f t="shared" si="56"/>
        <v>827257.81799999997</v>
      </c>
      <c r="AC118" s="24">
        <f t="shared" si="56"/>
        <v>74543365.669</v>
      </c>
      <c r="AD118" s="34">
        <f t="shared" si="50"/>
        <v>24481477</v>
      </c>
      <c r="AE118" s="24">
        <f t="shared" si="50"/>
        <v>7296269</v>
      </c>
      <c r="AF118" s="24">
        <f t="shared" si="50"/>
        <v>7850180</v>
      </c>
      <c r="AG118" s="35">
        <f t="shared" si="50"/>
        <v>424840000</v>
      </c>
    </row>
  </sheetData>
  <mergeCells count="16">
    <mergeCell ref="AD8:AG8"/>
    <mergeCell ref="B8:E8"/>
    <mergeCell ref="F8:I8"/>
    <mergeCell ref="J8:M8"/>
    <mergeCell ref="N8:Q8"/>
    <mergeCell ref="R8:U8"/>
    <mergeCell ref="Z8:AC8"/>
    <mergeCell ref="V8:Y8"/>
    <mergeCell ref="N66:Q66"/>
    <mergeCell ref="R66:U66"/>
    <mergeCell ref="Z66:AC66"/>
    <mergeCell ref="AD66:AG66"/>
    <mergeCell ref="B66:E66"/>
    <mergeCell ref="F66:I66"/>
    <mergeCell ref="J66:M66"/>
    <mergeCell ref="V66:Y66"/>
  </mergeCells>
  <phoneticPr fontId="2" type="noConversion"/>
  <pageMargins left="0.7" right="0.7" top="0.75" bottom="0.75" header="0.3" footer="0.3"/>
  <pageSetup paperSize="17" scale="65" orientation="landscape" r:id="rId1"/>
  <ignoredErrors>
    <ignoredError sqref="B69:I86 J68:U87 AD68:AG111 B87 D87:H87 B95:H95 B96:U108 J95:U95 B88:U94 AD112:AG114 B112:M114 C68:I68 R112:U114 B109:U111 R115:U115 C115:M115 AD115:AG115 B116:AG118 B115 N115:Q115 V115:AC115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42DA-606B-4DA9-89A0-55B2B381832B}">
  <sheetPr transitionEvaluation="1">
    <pageSetUpPr fitToPage="1"/>
  </sheetPr>
  <dimension ref="A1:N74"/>
  <sheetViews>
    <sheetView showGridLines="0" defaultGridColor="0" colorId="22" zoomScale="80" zoomScaleNormal="80" workbookViewId="0">
      <selection activeCell="Q54" sqref="Q54"/>
    </sheetView>
  </sheetViews>
  <sheetFormatPr defaultColWidth="9.77734375" defaultRowHeight="10"/>
  <cols>
    <col min="1" max="1" width="27.33203125" customWidth="1"/>
    <col min="2" max="2" width="6" bestFit="1" customWidth="1"/>
    <col min="3" max="3" width="13.44140625" bestFit="1" customWidth="1"/>
    <col min="4" max="5" width="12.33203125" bestFit="1" customWidth="1"/>
    <col min="6" max="6" width="14.44140625" bestFit="1" customWidth="1"/>
    <col min="7" max="7" width="1.77734375" customWidth="1"/>
    <col min="8" max="10" width="14.44140625" bestFit="1" customWidth="1"/>
    <col min="11" max="11" width="17.33203125" customWidth="1"/>
    <col min="12" max="12" width="10.77734375" bestFit="1" customWidth="1"/>
  </cols>
  <sheetData>
    <row r="1" spans="1:14">
      <c r="A1" s="3" t="s">
        <v>3</v>
      </c>
      <c r="B1" s="3"/>
      <c r="C1" s="3"/>
      <c r="D1" s="3"/>
      <c r="E1" s="3"/>
      <c r="F1" s="3"/>
      <c r="G1" s="3"/>
      <c r="H1" s="3"/>
      <c r="I1" s="3"/>
      <c r="J1" s="3"/>
      <c r="K1" s="3"/>
      <c r="M1" s="1"/>
    </row>
    <row r="2" spans="1:14">
      <c r="A2" s="8" t="s">
        <v>36</v>
      </c>
      <c r="B2" s="3"/>
      <c r="C2" s="4"/>
      <c r="D2" s="3"/>
      <c r="E2" s="4"/>
      <c r="F2" s="4"/>
      <c r="G2" s="4"/>
      <c r="H2" s="4"/>
      <c r="I2" s="4"/>
      <c r="J2" s="4"/>
      <c r="K2" s="4"/>
      <c r="L2" s="1"/>
      <c r="M2" s="1"/>
    </row>
    <row r="3" spans="1:14">
      <c r="A3" s="4" t="s">
        <v>4</v>
      </c>
      <c r="B3" s="3"/>
      <c r="C3" s="4"/>
      <c r="D3" s="3"/>
      <c r="E3" s="4"/>
      <c r="F3" s="4"/>
      <c r="G3" s="4"/>
      <c r="H3" s="4"/>
      <c r="I3" s="4"/>
      <c r="J3" s="4"/>
      <c r="K3" s="4"/>
      <c r="L3" s="1"/>
      <c r="M3" s="1"/>
    </row>
    <row r="4" spans="1:14">
      <c r="A4" s="4"/>
      <c r="B4" s="3"/>
      <c r="C4" s="4"/>
      <c r="D4" s="3"/>
      <c r="E4" s="4"/>
      <c r="F4" s="4"/>
      <c r="G4" s="4"/>
      <c r="H4" s="4"/>
      <c r="I4" s="4"/>
      <c r="J4" s="4"/>
      <c r="K4" s="4"/>
      <c r="L4" s="1"/>
      <c r="M4" s="1"/>
    </row>
    <row r="5" spans="1:14">
      <c r="A5" s="4" t="s">
        <v>5</v>
      </c>
      <c r="B5" s="3"/>
      <c r="C5" s="3"/>
      <c r="D5" s="3"/>
      <c r="E5" s="4"/>
      <c r="F5" s="4"/>
      <c r="G5" s="4"/>
      <c r="H5" s="4"/>
      <c r="I5" s="4"/>
      <c r="J5" s="4"/>
      <c r="K5" s="4"/>
      <c r="L5" s="48"/>
      <c r="M5" s="1"/>
    </row>
    <row r="6" spans="1:14">
      <c r="A6" s="4"/>
      <c r="B6" s="3"/>
      <c r="C6" s="4"/>
      <c r="D6" s="3"/>
      <c r="E6" s="4"/>
      <c r="F6" s="4"/>
      <c r="G6" s="4"/>
      <c r="H6" s="4"/>
      <c r="I6" s="4"/>
      <c r="J6" s="4"/>
      <c r="K6" s="4"/>
      <c r="L6" s="1"/>
      <c r="M6" s="1"/>
    </row>
    <row r="7" spans="1:14">
      <c r="A7" s="4" t="s">
        <v>6</v>
      </c>
      <c r="B7" s="3"/>
      <c r="C7" s="4"/>
      <c r="D7" s="3"/>
      <c r="E7" s="4"/>
      <c r="F7" s="4"/>
      <c r="G7" s="4"/>
      <c r="H7" s="4"/>
      <c r="I7" s="4"/>
      <c r="J7" s="4"/>
      <c r="K7" s="4"/>
      <c r="L7" s="1"/>
      <c r="M7" s="1"/>
    </row>
    <row r="8" spans="1:14">
      <c r="A8" s="1"/>
      <c r="B8" s="5"/>
      <c r="C8" s="2"/>
      <c r="D8" s="2"/>
      <c r="E8" s="2"/>
      <c r="F8" s="2"/>
      <c r="G8" s="2"/>
      <c r="H8" s="2"/>
      <c r="I8" s="2"/>
      <c r="J8" s="2"/>
      <c r="K8" s="2"/>
      <c r="L8" s="1"/>
      <c r="M8" s="1"/>
    </row>
    <row r="9" spans="1:14" ht="13.9" customHeight="1">
      <c r="A9" s="9"/>
      <c r="B9" s="11"/>
      <c r="C9" s="42" t="str">
        <f>INPUT!A3</f>
        <v>QUARTER ENDED SEPTEMBER 30</v>
      </c>
      <c r="D9" s="43"/>
      <c r="E9" s="44"/>
      <c r="F9" s="45"/>
      <c r="G9" s="13"/>
      <c r="H9" s="47" t="str">
        <f>INPUT!A4</f>
        <v>12 MONTHS ENDED SEPTEMBER 30</v>
      </c>
      <c r="I9" s="46"/>
      <c r="J9" s="44"/>
      <c r="K9" s="44"/>
      <c r="L9" s="49"/>
      <c r="M9" s="1"/>
      <c r="N9" s="27"/>
    </row>
    <row r="10" spans="1:14">
      <c r="A10" s="18"/>
      <c r="B10" s="19"/>
      <c r="C10" s="13"/>
      <c r="D10" s="13"/>
      <c r="E10" s="13"/>
      <c r="F10" s="13"/>
      <c r="G10" s="15"/>
      <c r="H10" s="13"/>
      <c r="I10" s="13"/>
      <c r="J10" s="13"/>
      <c r="K10" s="13"/>
      <c r="L10" s="1"/>
      <c r="M10" s="1"/>
    </row>
    <row r="11" spans="1:14">
      <c r="A11" s="18"/>
      <c r="B11" s="19"/>
      <c r="C11" s="15"/>
      <c r="D11" s="16" t="s">
        <v>7</v>
      </c>
      <c r="E11" s="15"/>
      <c r="F11" s="15"/>
      <c r="G11" s="15"/>
      <c r="H11" s="15"/>
      <c r="I11" s="16" t="s">
        <v>7</v>
      </c>
      <c r="J11" s="18"/>
      <c r="K11" s="15"/>
      <c r="L11" s="1"/>
      <c r="M11" s="1"/>
    </row>
    <row r="12" spans="1:14">
      <c r="A12" s="18" t="s">
        <v>8</v>
      </c>
      <c r="B12" s="19" t="s">
        <v>8</v>
      </c>
      <c r="C12" s="16" t="s">
        <v>9</v>
      </c>
      <c r="D12" s="16" t="s">
        <v>9</v>
      </c>
      <c r="E12" s="15"/>
      <c r="F12" s="16" t="s">
        <v>10</v>
      </c>
      <c r="G12" s="15"/>
      <c r="H12" s="16" t="s">
        <v>9</v>
      </c>
      <c r="I12" s="16" t="s">
        <v>9</v>
      </c>
      <c r="J12" s="15"/>
      <c r="K12" s="16" t="s">
        <v>10</v>
      </c>
      <c r="L12" s="1"/>
      <c r="M12" s="1"/>
    </row>
    <row r="13" spans="1:14">
      <c r="A13" s="18"/>
      <c r="B13" s="19"/>
      <c r="C13" s="16" t="s">
        <v>11</v>
      </c>
      <c r="D13" s="16" t="s">
        <v>11</v>
      </c>
      <c r="E13" s="16" t="s">
        <v>7</v>
      </c>
      <c r="F13" s="16" t="s">
        <v>12</v>
      </c>
      <c r="G13" s="15"/>
      <c r="H13" s="16" t="s">
        <v>11</v>
      </c>
      <c r="I13" s="16" t="s">
        <v>11</v>
      </c>
      <c r="J13" s="16" t="s">
        <v>7</v>
      </c>
      <c r="K13" s="16" t="s">
        <v>12</v>
      </c>
      <c r="L13" s="1"/>
      <c r="M13" s="25"/>
    </row>
    <row r="14" spans="1:14">
      <c r="A14" s="18"/>
      <c r="B14" s="19"/>
      <c r="C14" s="16" t="s">
        <v>13</v>
      </c>
      <c r="D14" s="16" t="s">
        <v>14</v>
      </c>
      <c r="E14" s="16" t="s">
        <v>14</v>
      </c>
      <c r="F14" s="16" t="s">
        <v>15</v>
      </c>
      <c r="G14" s="15"/>
      <c r="H14" s="16" t="s">
        <v>13</v>
      </c>
      <c r="I14" s="16" t="s">
        <v>14</v>
      </c>
      <c r="J14" s="16" t="s">
        <v>14</v>
      </c>
      <c r="K14" s="16" t="s">
        <v>15</v>
      </c>
      <c r="L14" s="1"/>
      <c r="M14" s="1"/>
    </row>
    <row r="15" spans="1:14">
      <c r="A15" s="10" t="s">
        <v>16</v>
      </c>
      <c r="B15" s="12" t="s">
        <v>17</v>
      </c>
      <c r="C15" s="14"/>
      <c r="D15" s="17" t="s">
        <v>18</v>
      </c>
      <c r="E15" s="14"/>
      <c r="F15" s="14"/>
      <c r="G15" s="14"/>
      <c r="H15" s="14"/>
      <c r="I15" s="17" t="s">
        <v>18</v>
      </c>
      <c r="J15" s="14"/>
      <c r="K15" s="14"/>
      <c r="L15" s="1"/>
      <c r="M15" s="1"/>
    </row>
    <row r="16" spans="1:14" ht="15.75" customHeight="1">
      <c r="A16" s="9" t="s">
        <v>34</v>
      </c>
      <c r="B16" s="54">
        <f>INPUT!$A$5</f>
        <v>2025</v>
      </c>
      <c r="C16" s="13">
        <f ca="1">ROUND(SUMIF($B$18:$F$29,$B16,C$18:C$29),0)</f>
        <v>20537228</v>
      </c>
      <c r="D16" s="13">
        <f t="shared" ref="D16:F17" ca="1" si="0">ROUND(SUMIF($B$18:$F$29,$B16,D$18:D$29),0)</f>
        <v>5190153</v>
      </c>
      <c r="E16" s="13">
        <f t="shared" ca="1" si="0"/>
        <v>6263195</v>
      </c>
      <c r="F16" s="13">
        <f t="shared" ca="1" si="0"/>
        <v>384060005</v>
      </c>
      <c r="G16" s="15"/>
      <c r="H16" s="13">
        <f ca="1">ROUND(SUMIF($B$18:$F$29,$B16,H$18:H$29),0)</f>
        <v>80777258</v>
      </c>
      <c r="I16" s="13">
        <f t="shared" ref="I16:K17" ca="1" si="1">ROUND(SUMIF($B$18:$F$29,$B16,I$18:I$29),0)</f>
        <v>20201109</v>
      </c>
      <c r="J16" s="13">
        <f t="shared" ca="1" si="1"/>
        <v>24294830</v>
      </c>
      <c r="K16" s="13">
        <f t="shared" ca="1" si="1"/>
        <v>1513466304</v>
      </c>
      <c r="L16" s="37"/>
      <c r="M16" s="2"/>
    </row>
    <row r="17" spans="1:13" ht="15.75" customHeight="1">
      <c r="A17" s="10" t="s">
        <v>35</v>
      </c>
      <c r="B17" s="27">
        <f>INPUT!$A$6</f>
        <v>2024</v>
      </c>
      <c r="C17" s="13">
        <f ca="1">ROUND(SUMIF($B$18:$F$29,$B17,C$18:C$29),0)</f>
        <v>20271613</v>
      </c>
      <c r="D17" s="13">
        <f t="shared" ca="1" si="0"/>
        <v>5001828</v>
      </c>
      <c r="E17" s="13">
        <f t="shared" ca="1" si="0"/>
        <v>6525577</v>
      </c>
      <c r="F17" s="13">
        <f t="shared" ca="1" si="0"/>
        <v>377011272</v>
      </c>
      <c r="G17" s="15"/>
      <c r="H17" s="13">
        <f ca="1">ROUND(SUMIF($B$18:$F$29,$B17,H$18:H$29),0)</f>
        <v>77368863</v>
      </c>
      <c r="I17" s="13">
        <f t="shared" ca="1" si="1"/>
        <v>18281468</v>
      </c>
      <c r="J17" s="13">
        <f t="shared" ca="1" si="1"/>
        <v>23009051</v>
      </c>
      <c r="K17" s="13">
        <f ca="1">ROUND(SUMIF($B$18:$F$29,$B17,K$18:K$29),0)</f>
        <v>1421176489</v>
      </c>
      <c r="M17" s="26"/>
    </row>
    <row r="18" spans="1:13" ht="15.75" customHeight="1">
      <c r="A18" s="9" t="s">
        <v>19</v>
      </c>
      <c r="B18" s="54">
        <f>INPUT!$A$5</f>
        <v>2025</v>
      </c>
      <c r="C18" s="53">
        <f>ROUND(VLOOKUP($C$9&amp;" "&amp;TEXT($B18,IF($B18="","","0")),Spreadsheet1,2,FALSE),0)</f>
        <v>6088493</v>
      </c>
      <c r="D18" s="53">
        <f>ROUND(VLOOKUP($C$9&amp;" "&amp;TEXT($B18,IF($B18="","","0")),Spreadsheet1,3,FALSE),0)</f>
        <v>1525780</v>
      </c>
      <c r="E18" s="53">
        <f>ROUND(VLOOKUP($C$9&amp;" "&amp;TEXT($B18,IF($B18="","","0")),Spreadsheet1,4,FALSE),0)</f>
        <v>1893864</v>
      </c>
      <c r="F18" s="53">
        <f>ROUND(VLOOKUP($C$9&amp;" "&amp;TEXT($B18,IF($B18="","","0")),Spreadsheet1,5,FALSE),0)</f>
        <v>144727000</v>
      </c>
      <c r="G18" s="13"/>
      <c r="H18" s="53">
        <f>ROUND(VLOOKUP($H$9&amp;" "&amp;TEXT($B18,IF($B18="","","0")),Spreadsheet2,2,FALSE),0)</f>
        <v>23891405</v>
      </c>
      <c r="I18" s="53">
        <f>ROUND(VLOOKUP($H$9&amp;" "&amp;TEXT($B18,IF($B18="","","0")),Spreadsheet2,3,FALSE),0)</f>
        <v>5657737</v>
      </c>
      <c r="J18" s="53">
        <f>ROUND(VLOOKUP($H$9&amp;" "&amp;TEXT($B18,IF($B18="","","0")),Spreadsheet2,4,FALSE),0)</f>
        <v>7251478</v>
      </c>
      <c r="K18" s="53">
        <f>ROUND(VLOOKUP($H$9&amp;" "&amp;TEXT($B18,IF($B18="","","0")),Spreadsheet2,5,FALSE),0)</f>
        <v>574267525</v>
      </c>
      <c r="M18" s="24"/>
    </row>
    <row r="19" spans="1:13" ht="12" customHeight="1">
      <c r="A19" s="10"/>
      <c r="B19" s="54">
        <f>INPUT!$A$6</f>
        <v>2024</v>
      </c>
      <c r="C19" s="53">
        <f>ROUND(VLOOKUP($C$9&amp;" "&amp;TEXT($B19,IF($B19="","","0")),Spreadsheet1,2,FALSE),0)</f>
        <v>5981979</v>
      </c>
      <c r="D19" s="53">
        <f>ROUND(VLOOKUP($C$9&amp;" "&amp;TEXT($B19,IF($B19="","","0")),Spreadsheet1,3,FALSE),0)</f>
        <v>1403282</v>
      </c>
      <c r="E19" s="53">
        <f>ROUND(VLOOKUP($C$9&amp;" "&amp;TEXT($B19,IF($B19="","","0")),Spreadsheet1,4,FALSE),0)</f>
        <v>1908558</v>
      </c>
      <c r="F19" s="53">
        <f>ROUND(VLOOKUP($C$9&amp;" "&amp;TEXT($B19,IF($B19="","","0")),Spreadsheet1,5,FALSE),0)</f>
        <v>146849157</v>
      </c>
      <c r="G19" s="14"/>
      <c r="H19" s="53">
        <f>ROUND(VLOOKUP($H$9&amp;" "&amp;TEXT($B19,IF($B19="","","0")),Spreadsheet2,2,FALSE),0)</f>
        <v>23781903</v>
      </c>
      <c r="I19" s="53">
        <f>ROUND(VLOOKUP($H$9&amp;" "&amp;TEXT($B19,IF($B19="","","0")),Spreadsheet2,3,FALSE),0)</f>
        <v>5194151</v>
      </c>
      <c r="J19" s="53">
        <f>ROUND(VLOOKUP($H$9&amp;" "&amp;TEXT($B19,IF($B19="","","0")),Spreadsheet2,4,FALSE),0)</f>
        <v>7218067</v>
      </c>
      <c r="K19" s="53">
        <f>ROUND(VLOOKUP($H$9&amp;" "&amp;TEXT($B19,IF($B19="","","0")),Spreadsheet2,5,FALSE),0)</f>
        <v>578519690</v>
      </c>
      <c r="L19" s="24"/>
      <c r="M19" s="24"/>
    </row>
    <row r="20" spans="1:13" ht="13.5" customHeight="1">
      <c r="A20" s="9" t="s">
        <v>20</v>
      </c>
      <c r="B20" s="54">
        <f>INPUT!$A$5</f>
        <v>2025</v>
      </c>
      <c r="C20" s="53">
        <f>ROUND(VLOOKUP($C$9&amp;" "&amp;TEXT($B20,IF($B20="","","0")),Spreadsheet1,6,FALSE),0)</f>
        <v>3282634</v>
      </c>
      <c r="D20" s="53">
        <f>ROUND(VLOOKUP($C$9&amp;" "&amp;TEXT($B20,IF($B20="","","0")),Spreadsheet1,7,FALSE),0)</f>
        <v>759681</v>
      </c>
      <c r="E20" s="53">
        <f>ROUND(VLOOKUP($C$9&amp;" "&amp;TEXT($B20,IF($B20="","","0")),Spreadsheet1,8,FALSE),0)</f>
        <v>1023709</v>
      </c>
      <c r="F20" s="53">
        <f>ROUND(VLOOKUP($C$9&amp;" "&amp;TEXT($B20,IF($B20="","","0")),Spreadsheet1,9,FALSE),0)</f>
        <v>51214990</v>
      </c>
      <c r="G20" s="13"/>
      <c r="H20" s="53">
        <f>ROUND(VLOOKUP($H$9&amp;" "&amp;TEXT($B20,IF($B20="","","0")),Spreadsheet2,6,FALSE),0)</f>
        <v>12878279</v>
      </c>
      <c r="I20" s="53">
        <f>ROUND(VLOOKUP($H$9&amp;" "&amp;TEXT($B20,IF($B20="","","0")),Spreadsheet2,7,FALSE),0)</f>
        <v>2886762</v>
      </c>
      <c r="J20" s="53">
        <f>ROUND(VLOOKUP($H$9&amp;" "&amp;TEXT($B20,IF($B20="","","0")),Spreadsheet2,8,FALSE),0)</f>
        <v>4015620</v>
      </c>
      <c r="K20" s="53">
        <f>ROUND(VLOOKUP($H$9&amp;" "&amp;TEXT($B20,IF($B20="","","0")),Spreadsheet2,9,FALSE),0)</f>
        <v>200769519</v>
      </c>
      <c r="L20" s="1"/>
      <c r="M20" s="1"/>
    </row>
    <row r="21" spans="1:13" ht="14.25" customHeight="1">
      <c r="A21" s="10"/>
      <c r="B21" s="54">
        <f>INPUT!$A$6</f>
        <v>2024</v>
      </c>
      <c r="C21" s="53">
        <f>ROUND(VLOOKUP($C$9&amp;" "&amp;TEXT($B21,IF($B21="","","0")),Spreadsheet1,6,FALSE),0)</f>
        <v>3310320</v>
      </c>
      <c r="D21" s="53">
        <f>ROUND(VLOOKUP($C$9&amp;" "&amp;TEXT($B21,IF($B21="","","0")),Spreadsheet1,7,FALSE),0)</f>
        <v>814147</v>
      </c>
      <c r="E21" s="53">
        <f>ROUND(VLOOKUP($C$9&amp;" "&amp;TEXT($B21,IF($B21="","","0")),Spreadsheet1,8,FALSE),0)</f>
        <v>1093974</v>
      </c>
      <c r="F21" s="53">
        <f>ROUND(VLOOKUP($C$9&amp;" "&amp;TEXT($B21,IF($B21="","","0")),Spreadsheet1,9,FALSE),0)</f>
        <v>49490590</v>
      </c>
      <c r="G21" s="14"/>
      <c r="H21" s="53">
        <f>ROUND(VLOOKUP($H$9&amp;" "&amp;TEXT($B21,IF($B21="","","0")),Spreadsheet2,6,FALSE),0)</f>
        <v>13438166</v>
      </c>
      <c r="I21" s="53">
        <f>ROUND(VLOOKUP($H$9&amp;" "&amp;TEXT($B21,IF($B21="","","0")),Spreadsheet2,7,FALSE),0)</f>
        <v>3398948</v>
      </c>
      <c r="J21" s="53">
        <f>ROUND(VLOOKUP($H$9&amp;" "&amp;TEXT($B21,IF($B21="","","0")),Spreadsheet2,8,FALSE),0)</f>
        <v>4548345</v>
      </c>
      <c r="K21" s="53">
        <f>ROUND(VLOOKUP($H$9&amp;" "&amp;TEXT($B21,IF($B21="","","0")),Spreadsheet2,9,FALSE),0)</f>
        <v>198450883</v>
      </c>
    </row>
    <row r="22" spans="1:13" ht="14.25" customHeight="1">
      <c r="A22" s="9" t="s">
        <v>21</v>
      </c>
      <c r="B22" s="54">
        <f>INPUT!$A$5</f>
        <v>2025</v>
      </c>
      <c r="C22" s="53">
        <f>ROUND(VLOOKUP($C$9&amp;" "&amp;TEXT($B22,IF($B22="","","0")),Spreadsheet1,10,FALSE),0)</f>
        <v>927369</v>
      </c>
      <c r="D22" s="53">
        <f>ROUND(VLOOKUP($C$9&amp;" "&amp;TEXT($B22,IF($B22="","","0")),Spreadsheet1,11,FALSE),0)</f>
        <v>196137</v>
      </c>
      <c r="E22" s="53">
        <f>ROUND(VLOOKUP($C$9&amp;" "&amp;TEXT($B22,IF($B22="","","0")),Spreadsheet1,12,FALSE),0)</f>
        <v>94471</v>
      </c>
      <c r="F22" s="53">
        <f>ROUND(VLOOKUP($C$9&amp;" "&amp;TEXT($B22,IF($B22="","","0")),Spreadsheet1,13,FALSE),0)</f>
        <v>13275480</v>
      </c>
      <c r="G22" s="20"/>
      <c r="H22" s="53">
        <f>ROUND(VLOOKUP($H$9&amp;" "&amp;TEXT($B22,IF($B22="","","0")),Spreadsheet2,10,FALSE),0)</f>
        <v>3677224</v>
      </c>
      <c r="I22" s="53">
        <f>ROUND(VLOOKUP($H$9&amp;" "&amp;TEXT($B22,IF($B22="","","0")),Spreadsheet2,11,FALSE),0)</f>
        <v>778423</v>
      </c>
      <c r="J22" s="53">
        <f>ROUND(VLOOKUP($H$9&amp;" "&amp;TEXT($B22,IF($B22="","","0")),Spreadsheet2,12,FALSE),0)</f>
        <v>355775</v>
      </c>
      <c r="K22" s="53">
        <f>ROUND(VLOOKUP($H$9&amp;" "&amp;TEXT($B22,IF($B22="","","0")),Spreadsheet2,13,FALSE),0)</f>
        <v>55496200</v>
      </c>
      <c r="M22" s="1"/>
    </row>
    <row r="23" spans="1:13" ht="12.75" customHeight="1">
      <c r="A23" s="10"/>
      <c r="B23" s="54">
        <f>INPUT!$A$6</f>
        <v>2024</v>
      </c>
      <c r="C23" s="53">
        <f>ROUND(VLOOKUP($C$9&amp;" "&amp;TEXT($B23,IF($B23="","","0")),Spreadsheet1,10,FALSE),0)</f>
        <v>928835</v>
      </c>
      <c r="D23" s="53">
        <f>ROUND(VLOOKUP($C$9&amp;" "&amp;TEXT($B23,IF($B23="","","0")),Spreadsheet1,11,FALSE),0)</f>
        <v>196659</v>
      </c>
      <c r="E23" s="53">
        <f>ROUND(VLOOKUP($C$9&amp;" "&amp;TEXT($B23,IF($B23="","","0")),Spreadsheet1,12,FALSE),0)</f>
        <v>89366</v>
      </c>
      <c r="F23" s="53">
        <f>ROUND(VLOOKUP($C$9&amp;" "&amp;TEXT($B23,IF($B23="","","0")),Spreadsheet1,13,FALSE),0)</f>
        <v>13606969</v>
      </c>
      <c r="G23" s="14"/>
      <c r="H23" s="53">
        <f>ROUND(VLOOKUP($H$9&amp;" "&amp;TEXT($B23,IF($B23="","","0")),Spreadsheet2,10,FALSE),0)</f>
        <v>3774552</v>
      </c>
      <c r="I23" s="53">
        <f>ROUND(VLOOKUP($H$9&amp;" "&amp;TEXT($B23,IF($B23="","","0")),Spreadsheet2,11,FALSE),0)</f>
        <v>846236</v>
      </c>
      <c r="J23" s="53">
        <f>ROUND(VLOOKUP($H$9&amp;" "&amp;TEXT($B23,IF($B23="","","0")),Spreadsheet2,12,FALSE),0)</f>
        <v>374724</v>
      </c>
      <c r="K23" s="53">
        <f>ROUND(VLOOKUP($H$9&amp;" "&amp;TEXT($B23,IF($B23="","","0")),Spreadsheet2,13,FALSE),0)</f>
        <v>56167379</v>
      </c>
    </row>
    <row r="24" spans="1:13" ht="12.75" customHeight="1">
      <c r="A24" s="9" t="s">
        <v>23</v>
      </c>
      <c r="B24" s="54">
        <f>INPUT!$A$5</f>
        <v>2025</v>
      </c>
      <c r="C24" s="53">
        <f>ROUND(VLOOKUP($C$9&amp;" "&amp;TEXT($B24,IF($B24="","","0")),Spreadsheet1,18,FALSE),0)</f>
        <v>3103716</v>
      </c>
      <c r="D24" s="53">
        <f>ROUND(VLOOKUP($C$9&amp;" "&amp;TEXT($B24,IF($B24="","","0")),Spreadsheet1,19,FALSE),0)</f>
        <v>606838</v>
      </c>
      <c r="E24" s="53">
        <f>ROUND(VLOOKUP($C$9&amp;" "&amp;TEXT($B24,IF($B24="","","0")),Spreadsheet1,20,FALSE),0)</f>
        <v>965876</v>
      </c>
      <c r="F24" s="53">
        <f>ROUND(VLOOKUP($C$9&amp;" "&amp;TEXT($B24,IF($B24="","","0")),Spreadsheet1,21,FALSE),0)</f>
        <v>46784998</v>
      </c>
      <c r="G24" s="13"/>
      <c r="H24" s="53">
        <f>ROUND(VLOOKUP($H$9&amp;" "&amp;TEXT($B24,IF($B24="","","0")),Spreadsheet2,18,FALSE),0)</f>
        <v>12229222</v>
      </c>
      <c r="I24" s="53">
        <f>ROUND(VLOOKUP($H$9&amp;" "&amp;TEXT($B24,IF($B24="","","0")),Spreadsheet2,19,FALSE),0)</f>
        <v>2711019</v>
      </c>
      <c r="J24" s="53">
        <f>ROUND(VLOOKUP($H$9&amp;" "&amp;TEXT($B24,IF($B24="","","0")),Spreadsheet2,20,FALSE),0)</f>
        <v>3994519</v>
      </c>
      <c r="K24" s="53">
        <f>ROUND(VLOOKUP($H$9&amp;" "&amp;TEXT($B24,IF($B24="","","0")),Spreadsheet2,21,FALSE),0)</f>
        <v>183549694</v>
      </c>
    </row>
    <row r="25" spans="1:13" ht="14.25" customHeight="1">
      <c r="A25" s="10"/>
      <c r="B25" s="54">
        <f>INPUT!$A$6</f>
        <v>2024</v>
      </c>
      <c r="C25" s="53">
        <f>ROUND(VLOOKUP($C$9&amp;" "&amp;TEXT($B25,IF($B25="","","0")),Spreadsheet1,18,FALSE),0)</f>
        <v>3051487</v>
      </c>
      <c r="D25" s="53">
        <f>ROUND(VLOOKUP($C$9&amp;" "&amp;TEXT($B25,IF($B25="","","0")),Spreadsheet1,19,FALSE),0)</f>
        <v>642469</v>
      </c>
      <c r="E25" s="53">
        <f>ROUND(VLOOKUP($C$9&amp;" "&amp;TEXT($B25,IF($B25="","","0")),Spreadsheet1,20,FALSE),0)</f>
        <v>1343179</v>
      </c>
      <c r="F25" s="53">
        <f>ROUND(VLOOKUP($C$9&amp;" "&amp;TEXT($B25,IF($B25="","","0")),Spreadsheet1,21,FALSE),0)</f>
        <v>44422562</v>
      </c>
      <c r="G25" s="14"/>
      <c r="H25" s="53">
        <f>ROUND(VLOOKUP($H$9&amp;" "&amp;TEXT($B25,IF($B25="","","0")),Spreadsheet2,18,FALSE),0)</f>
        <v>12173310</v>
      </c>
      <c r="I25" s="53">
        <f>ROUND(VLOOKUP($H$9&amp;" "&amp;TEXT($B25,IF($B25="","","0")),Spreadsheet2,19,FALSE),0)</f>
        <v>1822547</v>
      </c>
      <c r="J25" s="53">
        <f>ROUND(VLOOKUP($H$9&amp;" "&amp;TEXT($B25,IF($B25="","","0")),Spreadsheet2,20,FALSE),0)</f>
        <v>3467943</v>
      </c>
      <c r="K25" s="53">
        <f>ROUND(VLOOKUP($H$9&amp;" "&amp;TEXT($B25,IF($B25="","","0")),Spreadsheet2,21,FALSE),0)</f>
        <v>177803537</v>
      </c>
    </row>
    <row r="26" spans="1:13" ht="12.75" customHeight="1">
      <c r="A26" s="52" t="s">
        <v>150</v>
      </c>
      <c r="B26" s="54">
        <f>INPUT!$A$5</f>
        <v>2025</v>
      </c>
      <c r="C26" s="53">
        <f>ROUND(VLOOKUP($C$9&amp;" "&amp;TEXT($B26,IF($B26="","","0")),Spreadsheet1,26,FALSE),0)</f>
        <v>906513</v>
      </c>
      <c r="D26" s="53">
        <f>ROUND(VLOOKUP($C$9&amp;" "&amp;TEXT($B26,IF($B26="","","0")),Spreadsheet1,27,FALSE),0)</f>
        <v>214099</v>
      </c>
      <c r="E26" s="53">
        <f>ROUND(VLOOKUP($C$9&amp;" "&amp;TEXT($B26,IF($B26="","","0")),Spreadsheet1,28,FALSE),0)</f>
        <v>216983</v>
      </c>
      <c r="F26" s="53">
        <f>ROUND(VLOOKUP($C$9&amp;" "&amp;TEXT($B26,IF($B26="","","0")),Spreadsheet1,29,FALSE),0)</f>
        <v>19202537</v>
      </c>
      <c r="G26" s="13"/>
      <c r="H26" s="53">
        <f>ROUND(VLOOKUP($H$9&amp;" "&amp;TEXT($B26,IF($B26="","","0")),Spreadsheet2,26,FALSE),0)</f>
        <v>3619651</v>
      </c>
      <c r="I26" s="53">
        <f>ROUND(VLOOKUP($H$9&amp;" "&amp;TEXT($B26,IF($B26="","","0")),Spreadsheet2,27,FALSE),0)</f>
        <v>870899</v>
      </c>
      <c r="J26" s="53">
        <f>ROUND(VLOOKUP($H$9&amp;" "&amp;TEXT($B26,IF($B26="","","0")),Spreadsheet2,28,FALSE),0)</f>
        <v>827258</v>
      </c>
      <c r="K26" s="53">
        <f>ROUND(VLOOKUP($H$9&amp;" "&amp;TEXT($B26,IF($B26="","","0")),Spreadsheet2,29,FALSE),0)</f>
        <v>74543366</v>
      </c>
    </row>
    <row r="27" spans="1:13" ht="14.25" customHeight="1">
      <c r="A27" s="10"/>
      <c r="B27" s="54">
        <f>INPUT!$A$6</f>
        <v>2024</v>
      </c>
      <c r="C27" s="53">
        <f>ROUND(VLOOKUP($C$9&amp;" "&amp;TEXT($B27,IF($B27="","","0")),Spreadsheet1,26,FALSE),0)</f>
        <v>923251</v>
      </c>
      <c r="D27" s="53">
        <f>ROUND(VLOOKUP($C$9&amp;" "&amp;TEXT($B27,IF($B27="","","0")),Spreadsheet1,27,FALSE),0)</f>
        <v>191940</v>
      </c>
      <c r="E27" s="53">
        <f>ROUND(VLOOKUP($C$9&amp;" "&amp;TEXT($B27,IF($B27="","","0")),Spreadsheet1,28,FALSE),0)</f>
        <v>179144</v>
      </c>
      <c r="F27" s="53">
        <f>ROUND(VLOOKUP($C$9&amp;" "&amp;TEXT($B27,IF($B27="","","0")),Spreadsheet1,29,FALSE),0)</f>
        <v>18606994</v>
      </c>
      <c r="G27" s="14"/>
      <c r="H27" s="70" t="s">
        <v>152</v>
      </c>
      <c r="I27" s="70" t="s">
        <v>152</v>
      </c>
      <c r="J27" s="70" t="s">
        <v>152</v>
      </c>
      <c r="K27" s="70" t="s">
        <v>152</v>
      </c>
    </row>
    <row r="28" spans="1:13" ht="12" customHeight="1">
      <c r="A28" s="9" t="s">
        <v>25</v>
      </c>
      <c r="B28" s="54">
        <f>INPUT!$A$5</f>
        <v>2025</v>
      </c>
      <c r="C28" s="53">
        <f>ROUND(VLOOKUP($C$9&amp;" "&amp;TEXT($B28,IF($B28="","","0")),Spreadsheet1,30,FALSE),0)</f>
        <v>6228503</v>
      </c>
      <c r="D28" s="53">
        <f>ROUND(VLOOKUP($C$9&amp;" "&amp;TEXT($B28,IF($B28="","","0")),Spreadsheet1,31,FALSE),0)</f>
        <v>1887618</v>
      </c>
      <c r="E28" s="53">
        <f>ROUND(VLOOKUP($C$9&amp;" "&amp;TEXT($B28,IF($B28="","","0")),Spreadsheet1,32,FALSE),0)</f>
        <v>2068292</v>
      </c>
      <c r="F28" s="53">
        <f>ROUND(VLOOKUP($C$9&amp;" "&amp;TEXT($B28,IF($B28="","","0")),Spreadsheet1,33,FALSE),0)</f>
        <v>108855000</v>
      </c>
      <c r="G28" s="13"/>
      <c r="H28" s="53">
        <f>ROUND(VLOOKUP($H$9&amp;" "&amp;TEXT($B28,IF($B28="","","0")),Spreadsheet2,30,FALSE),0)</f>
        <v>24481477</v>
      </c>
      <c r="I28" s="53">
        <f>ROUND(VLOOKUP($H$9&amp;" "&amp;TEXT($B28,IF($B28="","","0")),Spreadsheet2,31,FALSE),0)</f>
        <v>7296269</v>
      </c>
      <c r="J28" s="53">
        <f>ROUND(VLOOKUP($H$9&amp;" "&amp;TEXT($B28,IF($B28="","","0")),Spreadsheet2,32,FALSE),0)</f>
        <v>7850180</v>
      </c>
      <c r="K28" s="53">
        <f>ROUND(VLOOKUP($H$9&amp;" "&amp;TEXT($B28,IF($B28="","","0")),Spreadsheet2,33,FALSE),0)</f>
        <v>424840000</v>
      </c>
    </row>
    <row r="29" spans="1:13" ht="14.25" customHeight="1">
      <c r="A29" s="10"/>
      <c r="B29" s="54">
        <f>INPUT!$A$6</f>
        <v>2024</v>
      </c>
      <c r="C29" s="53">
        <f>ROUND(VLOOKUP($C$9&amp;" "&amp;TEXT($B29,IF($B29="","","0")),Spreadsheet1,30,FALSE),0)</f>
        <v>6075741</v>
      </c>
      <c r="D29" s="53">
        <f>ROUND(VLOOKUP($C$9&amp;" "&amp;TEXT($B29,IF($B29="","","0")),Spreadsheet1,31,FALSE),0)</f>
        <v>1753331</v>
      </c>
      <c r="E29" s="53">
        <f>ROUND(VLOOKUP($C$9&amp;" "&amp;TEXT($B29,IF($B29="","","0")),Spreadsheet1,32,FALSE),0)</f>
        <v>1911356</v>
      </c>
      <c r="F29" s="53">
        <f>ROUND(VLOOKUP($C$9&amp;" "&amp;TEXT($B29,IF($B29="","","0")),Spreadsheet1,33,FALSE),0)</f>
        <v>104035000</v>
      </c>
      <c r="G29" s="14"/>
      <c r="H29" s="53">
        <f>ROUND(VLOOKUP($H$9&amp;" "&amp;TEXT($B29,IF($B29="","","0")),Spreadsheet2,30,FALSE),0)</f>
        <v>24200932</v>
      </c>
      <c r="I29" s="53">
        <f>ROUND(VLOOKUP($H$9&amp;" "&amp;TEXT($B29,IF($B29="","","0")),Spreadsheet2,31,FALSE),0)</f>
        <v>7019586</v>
      </c>
      <c r="J29" s="53">
        <f>ROUND(VLOOKUP($H$9&amp;" "&amp;TEXT($B29,IF($B29="","","0")),Spreadsheet2,32,FALSE),0)</f>
        <v>7399972</v>
      </c>
      <c r="K29" s="53">
        <f>ROUND(VLOOKUP($H$9&amp;" "&amp;TEXT($B29,IF($B29="","","0")),Spreadsheet2,33,FALSE),0)</f>
        <v>410235000</v>
      </c>
    </row>
    <row r="31" spans="1:13" ht="10.9" customHeight="1">
      <c r="A31" s="1"/>
      <c r="B31" s="5"/>
      <c r="C31" s="6"/>
      <c r="D31" s="6"/>
      <c r="E31" s="6"/>
      <c r="F31" s="6"/>
      <c r="G31" s="2"/>
      <c r="H31" s="2"/>
      <c r="I31" s="2"/>
      <c r="J31" s="2"/>
      <c r="K31" s="2"/>
      <c r="L31" s="1"/>
      <c r="M31" s="1"/>
    </row>
    <row r="32" spans="1:13" ht="10.9" customHeight="1">
      <c r="A32" s="1"/>
      <c r="B32" s="5"/>
      <c r="C32" s="6"/>
      <c r="D32" s="6"/>
      <c r="E32" s="6"/>
      <c r="F32" s="6"/>
      <c r="G32" s="2"/>
      <c r="H32" s="2"/>
      <c r="I32" s="2"/>
      <c r="J32" s="2"/>
      <c r="K32" s="2"/>
      <c r="L32" s="1"/>
      <c r="M32" s="1"/>
    </row>
    <row r="33" spans="1:13" ht="10.9" customHeight="1">
      <c r="A33" s="1" t="s">
        <v>87</v>
      </c>
      <c r="B33" s="5"/>
      <c r="C33" s="6"/>
      <c r="D33" s="6"/>
      <c r="E33" s="6"/>
      <c r="F33" s="6"/>
      <c r="G33" s="2"/>
      <c r="H33" s="2"/>
      <c r="I33" s="2"/>
      <c r="J33" s="2"/>
      <c r="K33" s="2"/>
      <c r="L33" s="1"/>
      <c r="M33" s="1"/>
    </row>
    <row r="34" spans="1:13">
      <c r="A34" s="1" t="s">
        <v>33</v>
      </c>
      <c r="B34" s="5"/>
      <c r="C34" s="2"/>
      <c r="D34" s="2"/>
      <c r="E34" s="2"/>
      <c r="F34" s="2"/>
      <c r="G34" s="2"/>
      <c r="H34" s="2"/>
      <c r="I34" s="2"/>
      <c r="J34" s="2"/>
      <c r="K34" s="2"/>
      <c r="L34" s="1"/>
      <c r="M34" s="1"/>
    </row>
    <row r="35" spans="1:13">
      <c r="A35" s="1"/>
      <c r="B35" s="5"/>
      <c r="C35" s="2"/>
      <c r="D35" s="2"/>
      <c r="E35" s="2"/>
      <c r="F35" s="2"/>
      <c r="G35" s="2"/>
      <c r="H35" s="2"/>
      <c r="I35" s="2"/>
      <c r="J35" s="2"/>
      <c r="K35" s="2"/>
      <c r="L35" s="1"/>
      <c r="M35" s="1"/>
    </row>
    <row r="36" spans="1:13">
      <c r="A36" s="3" t="s">
        <v>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1"/>
      <c r="M36" s="1"/>
    </row>
    <row r="37" spans="1:13">
      <c r="A37" s="8" t="s">
        <v>36</v>
      </c>
      <c r="B37" s="3"/>
      <c r="C37" s="4"/>
      <c r="D37" s="3"/>
      <c r="E37" s="4"/>
      <c r="F37" s="4"/>
      <c r="G37" s="4"/>
      <c r="H37" s="4"/>
      <c r="I37" s="4"/>
      <c r="J37" s="4"/>
      <c r="K37" s="4"/>
      <c r="L37" s="1"/>
      <c r="M37" s="1"/>
    </row>
    <row r="38" spans="1:13">
      <c r="A38" s="4" t="s">
        <v>4</v>
      </c>
      <c r="B38" s="3"/>
      <c r="C38" s="4"/>
      <c r="D38" s="3"/>
      <c r="E38" s="4"/>
      <c r="F38" s="4"/>
      <c r="G38" s="4"/>
      <c r="H38" s="4"/>
      <c r="I38" s="4"/>
      <c r="J38" s="4"/>
      <c r="K38" s="4"/>
      <c r="L38" s="1"/>
      <c r="M38" s="1"/>
    </row>
    <row r="39" spans="1:13">
      <c r="A39" s="4"/>
      <c r="B39" s="3"/>
      <c r="C39" s="4"/>
      <c r="D39" s="3"/>
      <c r="E39" s="4"/>
      <c r="F39" s="4"/>
      <c r="G39" s="4"/>
      <c r="H39" s="4"/>
      <c r="I39" s="4"/>
      <c r="J39" s="4"/>
      <c r="K39" s="4"/>
      <c r="L39" s="1"/>
      <c r="M39" s="1"/>
    </row>
    <row r="40" spans="1:13">
      <c r="A40" s="4" t="s">
        <v>5</v>
      </c>
      <c r="B40" s="3"/>
      <c r="C40" s="3"/>
      <c r="D40" s="3"/>
      <c r="E40" s="4"/>
      <c r="F40" s="4"/>
      <c r="G40" s="4"/>
      <c r="H40" s="4"/>
      <c r="I40" s="4"/>
      <c r="J40" s="4"/>
      <c r="K40" s="4"/>
      <c r="L40" s="1"/>
      <c r="M40" s="1"/>
    </row>
    <row r="41" spans="1:13">
      <c r="A41" s="1"/>
      <c r="B41" s="5"/>
      <c r="C41" s="2"/>
      <c r="D41" s="2"/>
      <c r="E41" s="2"/>
      <c r="F41" s="2"/>
      <c r="G41" s="2"/>
      <c r="H41" s="2"/>
      <c r="I41" s="2"/>
      <c r="J41" s="2"/>
      <c r="K41" s="2"/>
      <c r="L41" s="1"/>
      <c r="M41" s="1"/>
    </row>
    <row r="42" spans="1:13" ht="10.5">
      <c r="A42" s="7" t="s">
        <v>26</v>
      </c>
      <c r="B42" s="5"/>
      <c r="C42" s="2"/>
      <c r="D42" s="2"/>
      <c r="E42" s="2"/>
      <c r="F42" s="2"/>
      <c r="G42" s="2"/>
      <c r="H42" s="2"/>
      <c r="I42" s="2"/>
      <c r="J42" s="2"/>
      <c r="K42" s="2"/>
      <c r="L42" s="1"/>
      <c r="M42" s="1"/>
    </row>
    <row r="43" spans="1:13">
      <c r="A43" s="1"/>
      <c r="B43" s="5"/>
      <c r="C43" s="2"/>
      <c r="D43" s="2"/>
      <c r="E43" s="2"/>
      <c r="F43" s="2"/>
      <c r="G43" s="2"/>
      <c r="H43" s="2"/>
      <c r="I43" s="2"/>
      <c r="J43" s="2"/>
      <c r="K43" s="2"/>
      <c r="L43" s="1"/>
      <c r="M43" s="1"/>
    </row>
    <row r="44" spans="1:13">
      <c r="A44" s="1" t="s">
        <v>27</v>
      </c>
      <c r="B44" s="5"/>
      <c r="C44" s="2"/>
      <c r="D44" s="2"/>
      <c r="E44" s="2"/>
      <c r="F44" s="2"/>
      <c r="G44" s="2"/>
      <c r="H44" s="2"/>
      <c r="I44" s="2"/>
      <c r="J44" s="2"/>
      <c r="K44" s="2"/>
      <c r="L44" s="1"/>
      <c r="M44" s="1"/>
    </row>
    <row r="45" spans="1:13">
      <c r="A45" s="1" t="s">
        <v>28</v>
      </c>
      <c r="B45" s="5"/>
      <c r="C45" s="2"/>
      <c r="D45" s="2"/>
      <c r="E45" s="2"/>
      <c r="F45" s="2"/>
      <c r="G45" s="2"/>
      <c r="H45" s="2"/>
      <c r="I45" s="2"/>
      <c r="J45" s="2"/>
      <c r="K45" s="2"/>
      <c r="L45" s="1"/>
      <c r="M45" s="1"/>
    </row>
    <row r="46" spans="1:13">
      <c r="A46" s="1"/>
      <c r="B46" s="5"/>
      <c r="C46" s="2"/>
      <c r="D46" s="2"/>
      <c r="E46" s="2"/>
      <c r="F46" s="2"/>
      <c r="G46" s="2"/>
      <c r="H46" s="2"/>
      <c r="I46" s="2"/>
      <c r="J46" s="2"/>
      <c r="K46" s="2"/>
      <c r="L46" s="1"/>
      <c r="M46" s="1"/>
    </row>
    <row r="47" spans="1:13">
      <c r="A47" s="1" t="s">
        <v>29</v>
      </c>
      <c r="B47" s="5"/>
      <c r="C47" s="2"/>
      <c r="D47" s="2"/>
      <c r="E47" s="2"/>
      <c r="F47" s="2"/>
      <c r="G47" s="2"/>
      <c r="H47" s="2"/>
      <c r="I47" s="2"/>
      <c r="J47" s="2"/>
      <c r="K47" s="2"/>
      <c r="L47" s="1"/>
      <c r="M47" s="1"/>
    </row>
    <row r="48" spans="1:13">
      <c r="A48" s="1"/>
      <c r="B48" s="5"/>
      <c r="C48" s="2"/>
      <c r="D48" s="2"/>
      <c r="E48" s="2"/>
      <c r="F48" s="2"/>
      <c r="G48" s="2"/>
      <c r="H48" s="2"/>
      <c r="I48" s="2"/>
      <c r="J48" s="2"/>
      <c r="K48" s="2"/>
      <c r="L48" s="1"/>
      <c r="M48" s="1"/>
    </row>
    <row r="49" spans="1:13">
      <c r="A49" s="1" t="s">
        <v>30</v>
      </c>
      <c r="B49" s="5"/>
      <c r="C49" s="2"/>
      <c r="D49" s="2"/>
      <c r="E49" s="2"/>
      <c r="F49" s="2"/>
      <c r="G49" s="2"/>
      <c r="H49" s="2"/>
      <c r="I49" s="2"/>
      <c r="J49" s="2"/>
      <c r="K49" s="2"/>
      <c r="L49" s="1"/>
      <c r="M49" s="1"/>
    </row>
    <row r="50" spans="1:13">
      <c r="A50" s="1"/>
      <c r="B50" s="5"/>
      <c r="C50" s="2"/>
      <c r="D50" s="2"/>
      <c r="E50" s="2"/>
      <c r="F50" s="2"/>
      <c r="G50" s="2"/>
      <c r="H50" s="2"/>
      <c r="I50" s="2"/>
      <c r="J50" s="2"/>
      <c r="K50" s="2"/>
      <c r="L50" s="1"/>
      <c r="M50" s="1"/>
    </row>
    <row r="51" spans="1:13" ht="10.5">
      <c r="A51" s="7" t="s">
        <v>31</v>
      </c>
      <c r="B51" s="5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</row>
    <row r="52" spans="1:13">
      <c r="A52" s="1"/>
      <c r="B52" s="5"/>
      <c r="C52" s="2"/>
      <c r="D52" s="2"/>
      <c r="E52" s="2"/>
      <c r="F52" s="2"/>
      <c r="G52" s="2"/>
      <c r="H52" s="2"/>
      <c r="I52" s="2"/>
      <c r="J52" s="2"/>
      <c r="K52" s="2"/>
      <c r="L52" s="1"/>
      <c r="M52" s="1"/>
    </row>
    <row r="53" spans="1:13">
      <c r="A53" s="1" t="s">
        <v>32</v>
      </c>
      <c r="B53" s="5"/>
      <c r="C53" s="2"/>
      <c r="D53" s="2"/>
      <c r="E53" s="2"/>
      <c r="F53" s="2"/>
      <c r="G53" s="2"/>
      <c r="H53" s="2"/>
      <c r="I53" s="2"/>
      <c r="J53" s="2"/>
      <c r="K53" s="2"/>
      <c r="L53" s="1"/>
      <c r="M53" s="1"/>
    </row>
    <row r="54" spans="1:13">
      <c r="A54" s="1" t="s">
        <v>153</v>
      </c>
      <c r="B54" s="5"/>
      <c r="C54" s="2"/>
      <c r="D54" s="2"/>
      <c r="E54" s="2"/>
      <c r="F54" s="2"/>
      <c r="G54" s="2"/>
      <c r="H54" s="2"/>
      <c r="I54" s="2"/>
      <c r="J54" s="2"/>
      <c r="K54" s="2"/>
      <c r="L54" s="1"/>
      <c r="M54" s="1"/>
    </row>
    <row r="55" spans="1:13">
      <c r="A55" s="1"/>
      <c r="B55" s="5"/>
      <c r="C55" s="2"/>
      <c r="D55" s="2"/>
      <c r="E55" s="2"/>
      <c r="F55" s="2"/>
      <c r="G55" s="2"/>
      <c r="H55" s="2"/>
      <c r="I55" s="2"/>
      <c r="J55" s="2"/>
      <c r="K55" s="2"/>
      <c r="L55" s="1"/>
      <c r="M55" s="1"/>
    </row>
    <row r="56" spans="1:13" ht="10" customHeight="1">
      <c r="A56" s="72" t="s">
        <v>154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1"/>
      <c r="M56" s="1"/>
    </row>
    <row r="57" spans="1:13">
      <c r="A57" s="71" t="s">
        <v>155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1"/>
      <c r="M57" s="1"/>
    </row>
    <row r="58" spans="1:13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1"/>
      <c r="M58" s="1"/>
    </row>
    <row r="59" spans="1:13" ht="20.25" customHeight="1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1"/>
      <c r="M59" s="1"/>
    </row>
    <row r="60" spans="1:13">
      <c r="A60" s="1"/>
      <c r="B60" s="5"/>
      <c r="C60" s="2"/>
      <c r="D60" s="2"/>
      <c r="E60" s="2"/>
      <c r="F60" s="2"/>
      <c r="G60" s="2"/>
      <c r="H60" s="2"/>
      <c r="I60" s="2"/>
      <c r="J60" s="2"/>
      <c r="K60" s="2"/>
      <c r="L60" s="1"/>
      <c r="M60" s="1"/>
    </row>
    <row r="61" spans="1:13">
      <c r="A61" s="1"/>
      <c r="B61" s="5"/>
      <c r="C61" s="2"/>
      <c r="D61" s="2"/>
      <c r="E61" s="2"/>
      <c r="F61" s="2"/>
      <c r="G61" s="2"/>
      <c r="H61" s="2"/>
      <c r="I61" s="2"/>
      <c r="J61" s="2"/>
      <c r="K61" s="2"/>
      <c r="L61" s="1"/>
      <c r="M61" s="1"/>
    </row>
    <row r="62" spans="1:13">
      <c r="A62" s="1"/>
      <c r="B62" s="5"/>
      <c r="C62" s="2"/>
      <c r="D62" s="2"/>
      <c r="E62" s="2"/>
      <c r="F62" s="2"/>
      <c r="G62" s="2"/>
      <c r="H62" s="2"/>
      <c r="I62" s="2"/>
      <c r="J62" s="2"/>
      <c r="K62" s="2"/>
      <c r="L62" s="1"/>
      <c r="M62" s="1"/>
    </row>
    <row r="63" spans="1:13">
      <c r="A63" s="1"/>
      <c r="B63" s="5"/>
      <c r="C63" s="2"/>
      <c r="D63" s="2"/>
      <c r="E63" s="2"/>
      <c r="F63" s="2"/>
      <c r="G63" s="2"/>
      <c r="H63" s="2"/>
      <c r="I63" s="2"/>
      <c r="J63" s="2"/>
      <c r="K63" s="2"/>
      <c r="L63" s="1"/>
      <c r="M63" s="1"/>
    </row>
    <row r="64" spans="1:13">
      <c r="A64" s="1"/>
      <c r="B64" s="5"/>
      <c r="C64" s="2"/>
      <c r="D64" s="2"/>
      <c r="E64" s="2"/>
      <c r="F64" s="2"/>
      <c r="G64" s="2"/>
      <c r="H64" s="2"/>
      <c r="I64" s="2"/>
      <c r="J64" s="2"/>
      <c r="K64" s="2"/>
      <c r="L64" s="1"/>
      <c r="M64" s="1"/>
    </row>
    <row r="65" spans="1:13">
      <c r="A65" s="1"/>
      <c r="B65" s="5"/>
      <c r="C65" s="2"/>
      <c r="D65" s="2"/>
      <c r="E65" s="2"/>
      <c r="F65" s="2"/>
      <c r="G65" s="2"/>
      <c r="H65" s="2"/>
      <c r="I65" s="2"/>
      <c r="J65" s="2"/>
      <c r="K65" s="2"/>
      <c r="L65" s="1"/>
      <c r="M65" s="1"/>
    </row>
    <row r="66" spans="1:13">
      <c r="A66" s="1"/>
      <c r="B66" s="5"/>
      <c r="C66" s="2"/>
      <c r="D66" s="2"/>
      <c r="E66" s="2"/>
      <c r="F66" s="2"/>
      <c r="G66" s="2"/>
      <c r="H66" s="2"/>
      <c r="I66" s="2"/>
      <c r="J66" s="2"/>
      <c r="K66" s="2"/>
      <c r="L66" s="1"/>
      <c r="M66" s="1"/>
    </row>
    <row r="67" spans="1:13">
      <c r="A67" s="1"/>
      <c r="B67" s="5"/>
      <c r="C67" s="2"/>
      <c r="D67" s="2"/>
      <c r="E67" s="2"/>
      <c r="F67" s="2"/>
      <c r="G67" s="2"/>
      <c r="H67" s="2"/>
      <c r="I67" s="2"/>
      <c r="J67" s="2"/>
      <c r="K67" s="2"/>
      <c r="L67" s="1"/>
      <c r="M67" s="1"/>
    </row>
    <row r="68" spans="1:13">
      <c r="A68" s="1"/>
      <c r="B68" s="5"/>
      <c r="C68" s="2"/>
      <c r="D68" s="2"/>
      <c r="E68" s="2"/>
      <c r="F68" s="2"/>
      <c r="G68" s="2"/>
      <c r="H68" s="2"/>
      <c r="I68" s="2"/>
      <c r="J68" s="2"/>
      <c r="K68" s="2"/>
      <c r="L68" s="1"/>
      <c r="M68" s="1"/>
    </row>
    <row r="69" spans="1:13">
      <c r="A69" s="1"/>
      <c r="B69" s="5"/>
      <c r="C69" s="2"/>
      <c r="D69" s="2"/>
      <c r="E69" s="2"/>
      <c r="F69" s="2"/>
      <c r="G69" s="2"/>
      <c r="H69" s="2"/>
      <c r="I69" s="2"/>
      <c r="J69" s="2"/>
      <c r="K69" s="2"/>
      <c r="L69" s="1"/>
      <c r="M69" s="1"/>
    </row>
    <row r="70" spans="1:13">
      <c r="A70" s="1"/>
      <c r="B70" s="5"/>
      <c r="C70" s="2"/>
      <c r="D70" s="2"/>
      <c r="E70" s="2"/>
      <c r="F70" s="2"/>
      <c r="G70" s="2"/>
      <c r="H70" s="2"/>
      <c r="I70" s="2"/>
      <c r="J70" s="2"/>
      <c r="K70" s="2"/>
      <c r="L70" s="1"/>
      <c r="M70" s="1"/>
    </row>
    <row r="71" spans="1:13">
      <c r="A71" s="1"/>
      <c r="B71" s="5"/>
      <c r="C71" s="2"/>
      <c r="D71" s="2"/>
      <c r="E71" s="2"/>
      <c r="F71" s="2"/>
      <c r="G71" s="2"/>
      <c r="H71" s="2"/>
      <c r="I71" s="2"/>
      <c r="J71" s="2"/>
      <c r="K71" s="2"/>
      <c r="L71" s="1"/>
      <c r="M71" s="1"/>
    </row>
    <row r="72" spans="1:13">
      <c r="A72" s="1"/>
      <c r="B72" s="5"/>
      <c r="C72" s="2"/>
      <c r="D72" s="2"/>
      <c r="E72" s="2"/>
      <c r="F72" s="2"/>
      <c r="G72" s="2"/>
      <c r="H72" s="2"/>
      <c r="I72" s="2"/>
      <c r="J72" s="2"/>
      <c r="K72" s="2"/>
      <c r="L72" s="1"/>
      <c r="M72" s="1"/>
    </row>
    <row r="73" spans="1:13">
      <c r="A73" s="1"/>
      <c r="B73" s="5"/>
      <c r="C73" s="2"/>
      <c r="D73" s="2"/>
      <c r="E73" s="2"/>
      <c r="F73" s="2"/>
      <c r="G73" s="2"/>
      <c r="H73" s="2"/>
      <c r="I73" s="2"/>
      <c r="J73" s="2"/>
      <c r="K73" s="2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</sheetData>
  <pageMargins left="0.8" right="0.8" top="1" bottom="1" header="0.5" footer="0.5"/>
  <pageSetup scale="69" orientation="landscape" r:id="rId1"/>
  <headerFooter alignWithMargins="0"/>
  <rowBreaks count="1" manualBreakCount="1">
    <brk id="34" max="16383" man="1"/>
  </rowBreaks>
  <ignoredErrors>
    <ignoredError sqref="B18:B23 B17 B24:B28" formula="1"/>
    <ignoredError sqref="D15 I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INPUT</vt:lpstr>
      <vt:lpstr>Output</vt:lpstr>
      <vt:lpstr>Spreadsheet1</vt:lpstr>
      <vt:lpstr>Spreadsheet2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Skomial</dc:creator>
  <cp:lastModifiedBy>Pelsey, Douglas</cp:lastModifiedBy>
  <cp:lastPrinted>2018-05-01T15:10:08Z</cp:lastPrinted>
  <dcterms:created xsi:type="dcterms:W3CDTF">2005-11-07T14:48:14Z</dcterms:created>
  <dcterms:modified xsi:type="dcterms:W3CDTF">2026-08-11T18:27:28Z</dcterms:modified>
</cp:coreProperties>
</file>