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W:\Railroad Financial Conferences Reports to Commissioners\Q4 2021\"/>
    </mc:Choice>
  </mc:AlternateContent>
  <xr:revisionPtr revIDLastSave="0" documentId="13_ncr:1_{1E6F8EA9-BB65-4F31-8AA7-01D9F50F0CD5}" xr6:coauthVersionLast="46" xr6:coauthVersionMax="46" xr10:uidLastSave="{00000000-0000-0000-0000-000000000000}"/>
  <workbookProtection workbookAlgorithmName="SHA-512" workbookHashValue="PGVFgZJMIDRs92RWbSYD4wlo6GoXBDllWo7LrQ2uxCGWodM9iVTwRQEyJwKmMy2KWSzLStgXaR0UMkgXcl6iDw==" workbookSaltValue="+Ot4VGs9X/jXLhFFXVcgSw==" workbookSpinCount="100000" lockStructure="1"/>
  <bookViews>
    <workbookView xWindow="-110" yWindow="-110" windowWidth="19420" windowHeight="9800" tabRatio="428" activeTab="1"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<sst xmlns="http://schemas.openxmlformats.org/spreadsheetml/2006/main" count="96" uniqueCount="59">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</sst>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6" fontId="7" fillId="0" borderId="13" xfId="2" applyNumberFormat="1" applyFill="1" applyBorder="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zoomScale="70" zoomScaleNormal="70" workbookViewId="0">
      <pane xSplit="1" ySplit="6" topLeftCell="B33" activePane="bottomRight" state="frozen"/>
      <selection pane="topRight" activeCell="B1" sqref="B1"/>
      <selection pane="bottomLeft" activeCell="A7" sqref="A7"/>
      <selection pane="bottomRight" activeCell="A37" sqref="A37"/>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54</v>
      </c>
      <c r="B1" s="30" t="s">
        <v>46</v>
      </c>
      <c r="D1" s="30"/>
      <c r="E1" s="30"/>
      <c r="F1" s="31"/>
      <c r="G1" s="10"/>
    </row>
    <row r="2" spans="1:36" ht="30" customHeight="1" x14ac:dyDescent="0.2">
      <c r="A2" s="34" t="s">
        <v>50</v>
      </c>
      <c r="B2" s="30" t="s">
        <v>46</v>
      </c>
      <c r="D2" s="30"/>
      <c r="E2" s="30"/>
      <c r="F2" s="31"/>
      <c r="G2" s="10"/>
      <c r="I2" s="35"/>
      <c r="L2" s="36"/>
    </row>
    <row r="3" spans="1:36" ht="14.5" x14ac:dyDescent="0.2">
      <c r="A3" s="34">
        <v>2021</v>
      </c>
      <c r="C3" s="37"/>
      <c r="I3" s="37"/>
    </row>
    <row r="4" spans="1:36" ht="15" thickBot="1" x14ac:dyDescent="0.25">
      <c r="A4" s="32">
        <f>A3-1</f>
        <v>2020</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116"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9" t="s">
        <v>45</v>
      </c>
      <c r="B29" s="17">
        <v>745077.39300000004</v>
      </c>
      <c r="C29" s="15">
        <v>353222.73422263755</v>
      </c>
      <c r="D29" s="15">
        <v>3580.2060000000056</v>
      </c>
      <c r="E29" s="15">
        <v>300895</v>
      </c>
      <c r="F29" s="19">
        <v>142</v>
      </c>
      <c r="G29" s="17">
        <v>211455</v>
      </c>
      <c r="H29" s="15">
        <v>99098</v>
      </c>
      <c r="I29" s="15">
        <v>-7196</v>
      </c>
      <c r="J29" s="15">
        <v>146053</v>
      </c>
      <c r="K29" s="19">
        <v>433</v>
      </c>
      <c r="L29" s="17">
        <v>75865</v>
      </c>
      <c r="M29" s="15">
        <v>35164</v>
      </c>
      <c r="N29" s="15">
        <v>1835</v>
      </c>
      <c r="O29" s="15">
        <v>28605</v>
      </c>
      <c r="P29" s="19">
        <v>2510</v>
      </c>
      <c r="Q29" s="17">
        <v>34083</v>
      </c>
      <c r="R29" s="15">
        <v>17080</v>
      </c>
      <c r="S29" s="15">
        <v>-704</v>
      </c>
      <c r="T29" s="15">
        <v>22327</v>
      </c>
      <c r="U29" s="19">
        <v>6305</v>
      </c>
      <c r="V29" s="17">
        <v>227182</v>
      </c>
      <c r="W29" s="15">
        <v>112185</v>
      </c>
      <c r="X29" s="15">
        <v>-5375</v>
      </c>
      <c r="Y29" s="15">
        <v>134782</v>
      </c>
      <c r="Z29" s="19">
        <v>1019</v>
      </c>
      <c r="AA29" s="17">
        <v>37966.663930000002</v>
      </c>
      <c r="AB29" s="15">
        <v>18105.25</v>
      </c>
      <c r="AC29" s="15">
        <v>2450.9892500000001</v>
      </c>
      <c r="AD29" s="15">
        <v>19522.8</v>
      </c>
      <c r="AE29" s="19">
        <v>7020</v>
      </c>
      <c r="AF29" s="17">
        <v>511614</v>
      </c>
      <c r="AG29" s="15">
        <v>238303</v>
      </c>
      <c r="AH29" s="15">
        <v>7927</v>
      </c>
      <c r="AI29" s="15">
        <v>362950.81411000004</v>
      </c>
      <c r="AJ29" s="19">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9" t="s">
        <v>48</v>
      </c>
      <c r="B31" s="17">
        <v>343146</v>
      </c>
      <c r="C31" s="15">
        <v>281062</v>
      </c>
      <c r="D31" s="15">
        <v>-282869</v>
      </c>
      <c r="E31" s="15">
        <v>173958</v>
      </c>
      <c r="F31" s="19">
        <v>382</v>
      </c>
      <c r="G31" s="17">
        <v>88619</v>
      </c>
      <c r="H31" s="15">
        <v>80202</v>
      </c>
      <c r="I31" s="15">
        <v>-98201</v>
      </c>
      <c r="J31" s="15">
        <v>77404</v>
      </c>
      <c r="K31" s="19">
        <v>237</v>
      </c>
      <c r="L31" s="17">
        <v>32285</v>
      </c>
      <c r="M31" s="15">
        <v>27838</v>
      </c>
      <c r="N31" s="15">
        <v>-26741</v>
      </c>
      <c r="O31" s="15">
        <v>14772</v>
      </c>
      <c r="P31" s="19">
        <v>1322</v>
      </c>
      <c r="Q31" s="17">
        <v>14456</v>
      </c>
      <c r="R31" s="15">
        <v>12425</v>
      </c>
      <c r="S31" s="15">
        <v>-14572</v>
      </c>
      <c r="T31" s="15">
        <v>12269</v>
      </c>
      <c r="U31" s="19">
        <v>4652</v>
      </c>
      <c r="V31" s="17">
        <v>86670</v>
      </c>
      <c r="W31" s="15">
        <v>85007</v>
      </c>
      <c r="X31" s="15">
        <v>-106885</v>
      </c>
      <c r="Y31" s="15">
        <v>69266</v>
      </c>
      <c r="Z31" s="19">
        <v>586</v>
      </c>
      <c r="AA31" s="17">
        <v>12625</v>
      </c>
      <c r="AB31" s="15">
        <v>11908.85522044388</v>
      </c>
      <c r="AC31" s="15">
        <v>-20768</v>
      </c>
      <c r="AD31" s="15">
        <v>6965.0864600000004</v>
      </c>
      <c r="AE31" s="19">
        <v>2676.9456500000001</v>
      </c>
      <c r="AF31" s="17">
        <v>246283</v>
      </c>
      <c r="AG31" s="15">
        <v>195214</v>
      </c>
      <c r="AH31" s="15">
        <v>-188052</v>
      </c>
      <c r="AI31" s="15">
        <v>206166</v>
      </c>
      <c r="AJ31" s="19">
        <v>19539</v>
      </c>
    </row>
    <row r="32" spans="1:36" s="10" customFormat="1" x14ac:dyDescent="0.2">
      <c r="A32" s="9" t="s">
        <v>49</v>
      </c>
      <c r="B32" s="17">
        <v>405484</v>
      </c>
      <c r="C32" s="15">
        <v>303027</v>
      </c>
      <c r="D32" s="15">
        <v>62338</v>
      </c>
      <c r="E32" s="15">
        <v>153427</v>
      </c>
      <c r="F32" s="19">
        <v>17</v>
      </c>
      <c r="G32" s="17">
        <v>117105</v>
      </c>
      <c r="H32" s="15">
        <v>88130</v>
      </c>
      <c r="I32" s="15">
        <v>28486</v>
      </c>
      <c r="J32" s="15">
        <v>69643</v>
      </c>
      <c r="K32" s="19">
        <v>121</v>
      </c>
      <c r="L32" s="17">
        <v>41922</v>
      </c>
      <c r="M32" s="15">
        <v>30510</v>
      </c>
      <c r="N32" s="15">
        <v>9637</v>
      </c>
      <c r="O32" s="15">
        <v>10290</v>
      </c>
      <c r="P32" s="19">
        <v>550</v>
      </c>
      <c r="Q32" s="17">
        <v>19043</v>
      </c>
      <c r="R32" s="15">
        <v>14461</v>
      </c>
      <c r="S32" s="15">
        <v>4587</v>
      </c>
      <c r="T32" s="15">
        <v>10368</v>
      </c>
      <c r="U32" s="19">
        <v>3416</v>
      </c>
      <c r="V32" s="17">
        <v>129097</v>
      </c>
      <c r="W32" s="15">
        <v>96935</v>
      </c>
      <c r="X32" s="15">
        <v>42427</v>
      </c>
      <c r="Y32" s="15">
        <v>75079</v>
      </c>
      <c r="Z32" s="19">
        <v>44</v>
      </c>
      <c r="AA32" s="17">
        <v>18467</v>
      </c>
      <c r="AB32" s="15">
        <v>13626</v>
      </c>
      <c r="AC32" s="15">
        <v>5841</v>
      </c>
      <c r="AD32" s="15">
        <v>5361</v>
      </c>
      <c r="AE32" s="19">
        <v>1585</v>
      </c>
      <c r="AF32" s="17">
        <v>301010</v>
      </c>
      <c r="AG32" s="15">
        <v>221488</v>
      </c>
      <c r="AH32" s="15">
        <v>54727</v>
      </c>
      <c r="AI32" s="15">
        <v>202401</v>
      </c>
      <c r="AJ32" s="19">
        <v>11252</v>
      </c>
    </row>
    <row r="33" spans="1:36" s="10" customFormat="1" x14ac:dyDescent="0.2">
      <c r="A33" s="23" t="s">
        <v>50</v>
      </c>
      <c r="B33" s="24">
        <v>461988.35118</v>
      </c>
      <c r="C33" s="25">
        <v>329756.53734471212</v>
      </c>
      <c r="D33" s="25">
        <v>56503.856299999985</v>
      </c>
      <c r="E33" s="25">
        <v>162654</v>
      </c>
      <c r="F33" s="26">
        <v>-57</v>
      </c>
      <c r="G33" s="24">
        <v>136535</v>
      </c>
      <c r="H33" s="25">
        <v>95343</v>
      </c>
      <c r="I33" s="25">
        <v>19430</v>
      </c>
      <c r="J33" s="25">
        <v>72404</v>
      </c>
      <c r="K33" s="26">
        <v>172</v>
      </c>
      <c r="L33" s="24">
        <v>51008</v>
      </c>
      <c r="M33" s="25">
        <v>35394</v>
      </c>
      <c r="N33" s="25">
        <v>9086</v>
      </c>
      <c r="O33" s="25">
        <v>10735</v>
      </c>
      <c r="P33" s="26">
        <v>845</v>
      </c>
      <c r="Q33" s="24">
        <v>20728</v>
      </c>
      <c r="R33" s="25">
        <v>16227</v>
      </c>
      <c r="S33" s="25">
        <v>1686</v>
      </c>
      <c r="T33" s="25">
        <v>10873</v>
      </c>
      <c r="U33" s="26">
        <v>3772</v>
      </c>
      <c r="V33" s="24">
        <v>139899</v>
      </c>
      <c r="W33" s="25">
        <v>101035</v>
      </c>
      <c r="X33" s="25">
        <v>10802</v>
      </c>
      <c r="Y33" s="25">
        <v>74147</v>
      </c>
      <c r="Z33" s="26">
        <v>36</v>
      </c>
      <c r="AA33" s="24">
        <v>23990</v>
      </c>
      <c r="AB33" s="25">
        <v>15445</v>
      </c>
      <c r="AC33" s="25">
        <v>5523</v>
      </c>
      <c r="AD33" s="25">
        <v>5373</v>
      </c>
      <c r="AE33" s="26">
        <v>1526</v>
      </c>
      <c r="AF33" s="24">
        <v>332662</v>
      </c>
      <c r="AG33" s="25">
        <v>229116</v>
      </c>
      <c r="AH33" s="25">
        <v>31652</v>
      </c>
      <c r="AI33" s="25">
        <v>206595</v>
      </c>
      <c r="AJ33" s="26">
        <v>12969</v>
      </c>
    </row>
    <row r="34" spans="1:36" x14ac:dyDescent="0.2">
      <c r="A34" s="9" t="s">
        <v>51</v>
      </c>
      <c r="B34" s="17">
        <v>559414.60100000002</v>
      </c>
      <c r="C34" s="15">
        <v>312436.95512678492</v>
      </c>
      <c r="D34" s="15">
        <v>97426.249820000026</v>
      </c>
      <c r="E34" s="15">
        <v>201581</v>
      </c>
      <c r="F34" s="19">
        <v>150</v>
      </c>
      <c r="G34" s="17">
        <v>185995</v>
      </c>
      <c r="H34" s="15">
        <v>98977</v>
      </c>
      <c r="I34" s="15">
        <v>49460</v>
      </c>
      <c r="J34" s="15">
        <v>99149</v>
      </c>
      <c r="K34" s="19">
        <v>143</v>
      </c>
      <c r="L34" s="17">
        <v>61451</v>
      </c>
      <c r="M34" s="15">
        <v>32194</v>
      </c>
      <c r="N34" s="15">
        <v>10443</v>
      </c>
      <c r="O34" s="15">
        <v>14860</v>
      </c>
      <c r="P34" s="19">
        <v>1124</v>
      </c>
      <c r="Q34" s="17">
        <v>29544</v>
      </c>
      <c r="R34" s="15">
        <v>16736</v>
      </c>
      <c r="S34" s="15">
        <v>8816</v>
      </c>
      <c r="T34" s="15">
        <v>14605</v>
      </c>
      <c r="U34" s="19">
        <v>4452</v>
      </c>
      <c r="V34" s="17">
        <v>178877</v>
      </c>
      <c r="W34" s="15">
        <v>101832</v>
      </c>
      <c r="X34" s="15">
        <v>38978</v>
      </c>
      <c r="Y34" s="15">
        <v>97032</v>
      </c>
      <c r="Z34" s="19">
        <v>213</v>
      </c>
      <c r="AA34" s="17">
        <v>32617</v>
      </c>
      <c r="AB34" s="15">
        <v>16261</v>
      </c>
      <c r="AC34" s="15">
        <v>8627</v>
      </c>
      <c r="AD34" s="15">
        <v>10874</v>
      </c>
      <c r="AE34" s="19">
        <v>3960</v>
      </c>
      <c r="AF34" s="17">
        <v>411234</v>
      </c>
      <c r="AG34" s="15">
        <v>223294</v>
      </c>
      <c r="AH34" s="15">
        <v>78572</v>
      </c>
      <c r="AI34" s="15">
        <v>259667</v>
      </c>
      <c r="AJ34" s="19">
        <v>17253</v>
      </c>
    </row>
    <row r="35" spans="1:36" s="10" customFormat="1" x14ac:dyDescent="0.2">
      <c r="A35" s="9" t="s">
        <v>52</v>
      </c>
      <c r="B35" s="17">
        <v>706531.92153000005</v>
      </c>
      <c r="C35" s="15">
        <v>331195.29894413875</v>
      </c>
      <c r="D35" s="15">
        <v>147117.32053000003</v>
      </c>
      <c r="E35" s="15">
        <v>328461</v>
      </c>
      <c r="F35" s="19">
        <v>459</v>
      </c>
      <c r="G35" s="17">
        <v>189847</v>
      </c>
      <c r="H35" s="15">
        <v>97854</v>
      </c>
      <c r="I35" s="15">
        <v>3852</v>
      </c>
      <c r="J35" s="15">
        <v>160618</v>
      </c>
      <c r="K35" s="19">
        <v>323</v>
      </c>
      <c r="L35" s="17">
        <v>69506</v>
      </c>
      <c r="M35" s="15">
        <v>31419</v>
      </c>
      <c r="N35" s="15">
        <v>8055</v>
      </c>
      <c r="O35" s="15">
        <v>29122</v>
      </c>
      <c r="P35" s="19">
        <v>2125</v>
      </c>
      <c r="Q35" s="17">
        <v>31169</v>
      </c>
      <c r="R35" s="15">
        <v>15518</v>
      </c>
      <c r="S35" s="15">
        <v>1625</v>
      </c>
      <c r="T35" s="15">
        <v>24433</v>
      </c>
      <c r="U35" s="19">
        <v>7318</v>
      </c>
      <c r="V35" s="17">
        <v>192777</v>
      </c>
      <c r="W35" s="15">
        <v>101890</v>
      </c>
      <c r="X35" s="15">
        <v>13900</v>
      </c>
      <c r="Y35" s="15">
        <v>147747</v>
      </c>
      <c r="Z35" s="19">
        <v>1173</v>
      </c>
      <c r="AA35" s="17">
        <v>33995</v>
      </c>
      <c r="AB35" s="15">
        <v>15119</v>
      </c>
      <c r="AC35" s="15">
        <v>1378</v>
      </c>
      <c r="AD35" s="15">
        <v>19761</v>
      </c>
      <c r="AE35" s="19">
        <v>8142</v>
      </c>
      <c r="AF35" s="17">
        <v>497003</v>
      </c>
      <c r="AG35" s="15">
        <v>230759</v>
      </c>
      <c r="AH35" s="15">
        <v>85769</v>
      </c>
      <c r="AI35" s="15">
        <v>414518</v>
      </c>
      <c r="AJ35" s="19">
        <v>34296</v>
      </c>
    </row>
    <row r="36" spans="1:36" x14ac:dyDescent="0.2">
      <c r="A36" s="9" t="s">
        <v>53</v>
      </c>
      <c r="B36" s="17">
        <v>720043.17755000002</v>
      </c>
      <c r="C36" s="15">
        <v>310918.91396518587</v>
      </c>
      <c r="D36" s="15">
        <v>13511.256019999972</v>
      </c>
      <c r="E36" s="15">
        <v>373685</v>
      </c>
      <c r="F36" s="19">
        <v>343</v>
      </c>
      <c r="G36" s="17">
        <v>219970</v>
      </c>
      <c r="H36" s="15">
        <v>91114</v>
      </c>
      <c r="I36" s="15">
        <v>30123</v>
      </c>
      <c r="J36" s="15">
        <v>183769</v>
      </c>
      <c r="K36" s="19">
        <v>420</v>
      </c>
      <c r="L36" s="17">
        <v>68575</v>
      </c>
      <c r="M36" s="15">
        <v>29418</v>
      </c>
      <c r="N36" s="15">
        <v>-931</v>
      </c>
      <c r="O36" s="15">
        <v>34854</v>
      </c>
      <c r="P36" s="19">
        <v>1871</v>
      </c>
      <c r="Q36" s="17">
        <v>36227</v>
      </c>
      <c r="R36" s="15">
        <v>16979</v>
      </c>
      <c r="S36" s="15">
        <v>5058</v>
      </c>
      <c r="T36" s="15">
        <v>30812</v>
      </c>
      <c r="U36" s="19">
        <v>8864</v>
      </c>
      <c r="V36" s="17">
        <v>213033</v>
      </c>
      <c r="W36" s="15">
        <v>102117</v>
      </c>
      <c r="X36" s="15">
        <v>20256</v>
      </c>
      <c r="Y36" s="15">
        <v>174487</v>
      </c>
      <c r="Z36" s="19">
        <v>1629</v>
      </c>
      <c r="AA36" s="17">
        <v>35450</v>
      </c>
      <c r="AB36" s="15">
        <v>14994</v>
      </c>
      <c r="AC36" s="15">
        <v>1455</v>
      </c>
      <c r="AD36" s="15">
        <v>23087</v>
      </c>
      <c r="AE36" s="19">
        <v>8891</v>
      </c>
      <c r="AF36" s="17">
        <v>544146</v>
      </c>
      <c r="AG36" s="15">
        <v>229833</v>
      </c>
      <c r="AH36" s="15">
        <v>47143</v>
      </c>
      <c r="AI36" s="15">
        <v>463351</v>
      </c>
      <c r="AJ36" s="19">
        <v>37778</v>
      </c>
    </row>
    <row r="37" spans="1:36" x14ac:dyDescent="0.2">
      <c r="A37" s="38" t="s">
        <v>54</v>
      </c>
      <c r="B37" s="18">
        <v>831920</v>
      </c>
      <c r="C37" s="16">
        <v>324583.73728951218</v>
      </c>
      <c r="D37" s="16">
        <v>111876.82244999998</v>
      </c>
      <c r="E37" s="16">
        <v>429979</v>
      </c>
      <c r="F37" s="20">
        <v>3095</v>
      </c>
      <c r="G37" s="18">
        <v>252323</v>
      </c>
      <c r="H37" s="16">
        <v>97738</v>
      </c>
      <c r="I37" s="16">
        <v>32353</v>
      </c>
      <c r="J37" s="16">
        <v>214430</v>
      </c>
      <c r="K37" s="20">
        <v>538</v>
      </c>
      <c r="L37" s="18">
        <v>90493</v>
      </c>
      <c r="M37" s="16">
        <v>34609</v>
      </c>
      <c r="N37" s="16">
        <v>21918</v>
      </c>
      <c r="O37" s="16">
        <v>48759</v>
      </c>
      <c r="P37" s="20">
        <v>4968</v>
      </c>
      <c r="Q37" s="18">
        <v>44553</v>
      </c>
      <c r="R37" s="16">
        <v>17648</v>
      </c>
      <c r="S37" s="16">
        <v>8326</v>
      </c>
      <c r="T37" s="16">
        <v>35096</v>
      </c>
      <c r="U37" s="20">
        <v>10555</v>
      </c>
      <c r="V37" s="18">
        <v>230982</v>
      </c>
      <c r="W37" s="16">
        <v>99979</v>
      </c>
      <c r="X37" s="16">
        <v>17949</v>
      </c>
      <c r="Y37" s="16">
        <v>202434</v>
      </c>
      <c r="Z37" s="20">
        <v>2028</v>
      </c>
      <c r="AA37" s="18">
        <v>39994</v>
      </c>
      <c r="AB37" s="16">
        <v>15759</v>
      </c>
      <c r="AC37" s="16">
        <v>4544</v>
      </c>
      <c r="AD37" s="16">
        <v>29564</v>
      </c>
      <c r="AE37" s="20">
        <v>13305</v>
      </c>
      <c r="AF37" s="18">
        <v>597120</v>
      </c>
      <c r="AG37" s="16">
        <v>236778</v>
      </c>
      <c r="AH37" s="16">
        <v>52974</v>
      </c>
      <c r="AI37" s="16">
        <v>521969</v>
      </c>
      <c r="AJ37" s="20">
        <v>55179</v>
      </c>
    </row>
    <row r="38" spans="1:36" x14ac:dyDescent="0.2">
      <c r="A38" s="9" t="s">
        <v>55</v>
      </c>
      <c r="B38" s="17"/>
      <c r="C38" s="15"/>
      <c r="D38" s="15"/>
      <c r="E38" s="15"/>
      <c r="F38" s="19"/>
      <c r="G38" s="39"/>
      <c r="H38" s="15"/>
      <c r="I38" s="15"/>
      <c r="J38" s="15"/>
      <c r="K38" s="19"/>
      <c r="L38" s="17"/>
      <c r="M38" s="15"/>
      <c r="N38" s="15"/>
      <c r="O38" s="15"/>
      <c r="P38" s="19"/>
      <c r="Q38" s="17"/>
      <c r="R38" s="15"/>
      <c r="S38" s="15"/>
      <c r="T38" s="15"/>
      <c r="U38" s="19"/>
      <c r="V38" s="17"/>
      <c r="W38" s="15"/>
      <c r="X38" s="15"/>
      <c r="Y38" s="15"/>
      <c r="Z38" s="19"/>
      <c r="AA38" s="17"/>
      <c r="AB38" s="15"/>
      <c r="AC38" s="15"/>
      <c r="AD38" s="15"/>
      <c r="AE38" s="19"/>
      <c r="AF38" s="17"/>
      <c r="AG38" s="15"/>
      <c r="AH38" s="15"/>
      <c r="AI38" s="15"/>
      <c r="AJ38" s="19"/>
    </row>
    <row r="39" spans="1:36" x14ac:dyDescent="0.2">
      <c r="A39" s="9" t="s">
        <v>56</v>
      </c>
      <c r="B39" s="17"/>
      <c r="C39" s="15"/>
      <c r="D39" s="15"/>
      <c r="E39" s="15"/>
      <c r="F39" s="19"/>
      <c r="G39" s="39"/>
      <c r="H39" s="15"/>
      <c r="I39" s="15"/>
      <c r="J39" s="15"/>
      <c r="K39" s="19"/>
      <c r="L39" s="17"/>
      <c r="M39" s="15"/>
      <c r="N39" s="15"/>
      <c r="O39" s="15"/>
      <c r="P39" s="19"/>
      <c r="Q39" s="17"/>
      <c r="R39" s="15"/>
      <c r="S39" s="15"/>
      <c r="T39" s="15"/>
      <c r="U39" s="19"/>
      <c r="V39" s="17"/>
      <c r="W39" s="15"/>
      <c r="X39" s="15"/>
      <c r="Y39" s="15"/>
      <c r="Z39" s="19"/>
      <c r="AA39" s="17"/>
      <c r="AB39" s="15"/>
      <c r="AC39" s="15"/>
      <c r="AD39" s="15"/>
      <c r="AE39" s="19"/>
      <c r="AF39" s="17"/>
      <c r="AG39" s="15"/>
      <c r="AH39" s="15"/>
      <c r="AI39" s="15"/>
      <c r="AJ39" s="19"/>
    </row>
    <row r="40" spans="1:36" x14ac:dyDescent="0.2">
      <c r="A40" s="9" t="s">
        <v>57</v>
      </c>
      <c r="B40" s="17"/>
      <c r="C40" s="15"/>
      <c r="D40" s="15"/>
      <c r="E40" s="15"/>
      <c r="F40" s="19"/>
      <c r="G40" s="39"/>
      <c r="H40" s="15"/>
      <c r="I40" s="15"/>
      <c r="J40" s="15"/>
      <c r="K40" s="19"/>
      <c r="L40" s="17"/>
      <c r="M40" s="15"/>
      <c r="N40" s="15"/>
      <c r="O40" s="15"/>
      <c r="P40" s="19"/>
      <c r="Q40" s="17"/>
      <c r="R40" s="15"/>
      <c r="S40" s="15"/>
      <c r="T40" s="15"/>
      <c r="U40" s="19"/>
      <c r="V40" s="17"/>
      <c r="W40" s="15"/>
      <c r="X40" s="15"/>
      <c r="Y40" s="15"/>
      <c r="Z40" s="19"/>
      <c r="AA40" s="17"/>
      <c r="AB40" s="15"/>
      <c r="AC40" s="15"/>
      <c r="AD40" s="15"/>
      <c r="AE40" s="19"/>
      <c r="AF40" s="17"/>
      <c r="AG40" s="15"/>
      <c r="AH40" s="15"/>
      <c r="AI40" s="15"/>
      <c r="AJ40" s="19"/>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jxwdaQXCZEsJPpFdt+Rzne5stasEAVITcOuU6maaBMunjwUPFxHGS090ob9yb6DULpiIcH8f8LnuW793NZ2+JQ==" saltValue="nLy+Nr8UF0/k4K5gV6KJsg=="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abSelected="1" zoomScale="55" zoomScaleNormal="55" workbookViewId="0">
      <selection activeCell="L6" sqref="L6"/>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DECEMBER 31 2021</v>
      </c>
      <c r="C3" s="27" t="s">
        <v>2</v>
      </c>
      <c r="D3" s="27" t="s">
        <v>3</v>
      </c>
      <c r="E3" s="4" t="s">
        <v>4</v>
      </c>
      <c r="F3" s="27" t="s">
        <v>5</v>
      </c>
      <c r="G3" s="4" t="s">
        <v>6</v>
      </c>
    </row>
    <row r="4" spans="1:7" ht="28" customHeight="1" x14ac:dyDescent="0.3">
      <c r="A4" s="49" t="s">
        <v>7</v>
      </c>
      <c r="B4" s="3">
        <f>INPUT!A3</f>
        <v>2021</v>
      </c>
      <c r="C4" s="28">
        <f>VLOOKUP(INPUT!$A$1,INPUT!$A$5:$AJ$51,2,FALSE)</f>
        <v>831920</v>
      </c>
      <c r="D4" s="28">
        <f>VLOOKUP(INPUT!$A$1,INPUT!$A$5:$AJ$51,3,FALSE)</f>
        <v>324583.73728951218</v>
      </c>
      <c r="E4" s="22">
        <f>VLOOKUP(INPUT!$A$1,INPUT!$A$5:$AJ$51,4,FALSE)</f>
        <v>111876.82244999998</v>
      </c>
      <c r="F4" s="28">
        <f>VLOOKUP(INPUT!$A$1,INPUT!$A$5:$AJ$51,5,FALSE)</f>
        <v>429979</v>
      </c>
      <c r="G4" s="21">
        <f>VLOOKUP(INPUT!$A$1,INPUT!$A$5:$AJ$51,6,FALSE)</f>
        <v>3095</v>
      </c>
    </row>
    <row r="5" spans="1:7" ht="28" customHeight="1" x14ac:dyDescent="0.3">
      <c r="A5" s="50"/>
      <c r="B5" s="3">
        <f>INPUT!A4</f>
        <v>2020</v>
      </c>
      <c r="C5" s="28">
        <f>VLOOKUP(INPUT!$A$2,INPUT!$A$5:$AJ$51,2,FALSE)</f>
        <v>461988.35118</v>
      </c>
      <c r="D5" s="28">
        <f>VLOOKUP(INPUT!$A$2,INPUT!$A$5:$AJ$51,3,FALSE)</f>
        <v>329756.53734471212</v>
      </c>
      <c r="E5" s="22">
        <f>VLOOKUP(INPUT!$A$2,INPUT!$A$5:$AJ$51,4,FALSE)</f>
        <v>56503.856299999985</v>
      </c>
      <c r="F5" s="28">
        <f>VLOOKUP(INPUT!$A$2,INPUT!$A$5:$AJ$51,5,FALSE)</f>
        <v>162654</v>
      </c>
      <c r="G5" s="21">
        <f>VLOOKUP(INPUT!$A$2,INPUT!$A$5:$AJ$51,6,FALSE)</f>
        <v>-57</v>
      </c>
    </row>
    <row r="6" spans="1:7" ht="28" customHeight="1" x14ac:dyDescent="0.3">
      <c r="A6" s="52" t="s">
        <v>19</v>
      </c>
      <c r="B6" s="3">
        <f>$B$4</f>
        <v>2021</v>
      </c>
      <c r="C6" s="33">
        <f>VLOOKUP(INPUT!$A$1,INPUT!$A$5:$AJ$51,7,FALSE)</f>
        <v>252323</v>
      </c>
      <c r="D6" s="28">
        <f>VLOOKUP(INPUT!$A$1,INPUT!$A$5:$AJ$51,8,FALSE)</f>
        <v>97738</v>
      </c>
      <c r="E6" s="22">
        <f>VLOOKUP(INPUT!$A$1,INPUT!$A$5:$AJ$51,9,FALSE)</f>
        <v>32353</v>
      </c>
      <c r="F6" s="28">
        <f>VLOOKUP(INPUT!$A$1,INPUT!$A$5:$AJ$51,10,FALSE)</f>
        <v>214430</v>
      </c>
      <c r="G6" s="21">
        <f>VLOOKUP(INPUT!$A$1,INPUT!$A$5:$AJ$51,11,FALSE)</f>
        <v>538</v>
      </c>
    </row>
    <row r="7" spans="1:7" ht="28" customHeight="1" x14ac:dyDescent="0.3">
      <c r="A7" s="53"/>
      <c r="B7" s="3">
        <f>$B$5</f>
        <v>2020</v>
      </c>
      <c r="C7" s="33">
        <f>VLOOKUP(INPUT!$A$2,INPUT!$A$5:$AJ$51,7,FALSE)</f>
        <v>136535</v>
      </c>
      <c r="D7" s="28">
        <f>VLOOKUP(INPUT!$A$2,INPUT!$A$5:$AJ$51,8,FALSE)</f>
        <v>95343</v>
      </c>
      <c r="E7" s="22">
        <f>VLOOKUP(INPUT!$A$2,INPUT!$A$5:$AJ$51,9,FALSE)</f>
        <v>19430</v>
      </c>
      <c r="F7" s="28">
        <f>VLOOKUP(INPUT!$A$2,INPUT!$A$5:$AJ$51,10,FALSE)</f>
        <v>72404</v>
      </c>
      <c r="G7" s="21">
        <f>VLOOKUP(INPUT!$A$2,INPUT!$A$5:$AJ$51,11,FALSE)</f>
        <v>172</v>
      </c>
    </row>
    <row r="8" spans="1:7" ht="28" customHeight="1" x14ac:dyDescent="0.3">
      <c r="A8" s="49" t="s">
        <v>8</v>
      </c>
      <c r="B8" s="3">
        <f>$B$4</f>
        <v>2021</v>
      </c>
      <c r="C8" s="28">
        <f>VLOOKUP(INPUT!$A$1,INPUT!$A$5:$AJ$51,12,FALSE)</f>
        <v>90493</v>
      </c>
      <c r="D8" s="28">
        <f>VLOOKUP(INPUT!$A$1,INPUT!$A$5:$AJ$51,13,FALSE)</f>
        <v>34609</v>
      </c>
      <c r="E8" s="22">
        <f>VLOOKUP(INPUT!$A$1,INPUT!$A$5:$AJ$51,14,FALSE)</f>
        <v>21918</v>
      </c>
      <c r="F8" s="28">
        <f>VLOOKUP(INPUT!$A$1,INPUT!$A$5:$AJ$51,15,FALSE)</f>
        <v>48759</v>
      </c>
      <c r="G8" s="21">
        <f>VLOOKUP(INPUT!$A$1,INPUT!$A$5:$AJ$51,16,FALSE)</f>
        <v>4968</v>
      </c>
    </row>
    <row r="9" spans="1:7" ht="28" customHeight="1" x14ac:dyDescent="0.3">
      <c r="A9" s="50"/>
      <c r="B9" s="3">
        <f>$B$5</f>
        <v>2020</v>
      </c>
      <c r="C9" s="28">
        <f>VLOOKUP(INPUT!$A$2,INPUT!$A$5:$AJ$51,12,FALSE)</f>
        <v>51008</v>
      </c>
      <c r="D9" s="28">
        <f>VLOOKUP(INPUT!$A$2,INPUT!$A$5:$AJ$51,13,FALSE)</f>
        <v>35394</v>
      </c>
      <c r="E9" s="22">
        <f>VLOOKUP(INPUT!$A$2,INPUT!$A$5:$AJ$51,14,FALSE)</f>
        <v>9086</v>
      </c>
      <c r="F9" s="28">
        <f>VLOOKUP(INPUT!$A$2,INPUT!$A$5:$AJ$51,15,FALSE)</f>
        <v>10735</v>
      </c>
      <c r="G9" s="21">
        <f>VLOOKUP(INPUT!$A$2,INPUT!$A$5:$AJ$51,16,FALSE)</f>
        <v>845</v>
      </c>
    </row>
    <row r="10" spans="1:7" ht="28" customHeight="1" x14ac:dyDescent="0.3">
      <c r="A10" s="49" t="s">
        <v>9</v>
      </c>
      <c r="B10" s="3">
        <f>$B$4</f>
        <v>2021</v>
      </c>
      <c r="C10" s="28">
        <f>VLOOKUP(INPUT!$A$1,INPUT!$A$5:$AJ$51,17,FALSE)</f>
        <v>44553</v>
      </c>
      <c r="D10" s="28">
        <f>VLOOKUP(INPUT!$A$1,INPUT!$A$5:$AJ$51,18,FALSE)</f>
        <v>17648</v>
      </c>
      <c r="E10" s="22">
        <f>VLOOKUP(INPUT!$A$1,INPUT!$A$5:$AJ$51,19,FALSE)</f>
        <v>8326</v>
      </c>
      <c r="F10" s="28">
        <f>VLOOKUP(INPUT!$A$1,INPUT!$A$5:$AJ$51,20,FALSE)</f>
        <v>35096</v>
      </c>
      <c r="G10" s="21">
        <f>VLOOKUP(INPUT!$A$1,INPUT!$A$5:$AJ$51,21,FALSE)</f>
        <v>10555</v>
      </c>
    </row>
    <row r="11" spans="1:7" ht="28" customHeight="1" x14ac:dyDescent="0.3">
      <c r="A11" s="50"/>
      <c r="B11" s="3">
        <f>$B$5</f>
        <v>2020</v>
      </c>
      <c r="C11" s="28">
        <f>VLOOKUP(INPUT!$A$2,INPUT!$A$5:$AJ$51,17,FALSE)</f>
        <v>20728</v>
      </c>
      <c r="D11" s="28">
        <f>VLOOKUP(INPUT!$A$2,INPUT!$A$5:$AJ$51,18,FALSE)</f>
        <v>16227</v>
      </c>
      <c r="E11" s="22">
        <f>VLOOKUP(INPUT!$A$2,INPUT!$A$5:$AJ$51,19,FALSE)</f>
        <v>1686</v>
      </c>
      <c r="F11" s="28">
        <f>VLOOKUP(INPUT!$A$2,INPUT!$A$5:$AJ$51,20,FALSE)</f>
        <v>10873</v>
      </c>
      <c r="G11" s="21">
        <f>VLOOKUP(INPUT!$A$2,INPUT!$A$5:$AJ$51,21,FALSE)</f>
        <v>3772</v>
      </c>
    </row>
    <row r="12" spans="1:7" ht="28" customHeight="1" x14ac:dyDescent="0.3">
      <c r="A12" s="49" t="s">
        <v>10</v>
      </c>
      <c r="B12" s="3">
        <f>$B$4</f>
        <v>2021</v>
      </c>
      <c r="C12" s="28">
        <f>VLOOKUP(INPUT!$A$1,INPUT!$A$5:$AJ$51,22,FALSE)</f>
        <v>230982</v>
      </c>
      <c r="D12" s="28">
        <f>VLOOKUP(INPUT!$A$1,INPUT!$A$5:$AJ$51,23,FALSE)</f>
        <v>99979</v>
      </c>
      <c r="E12" s="22">
        <f>VLOOKUP(INPUT!$A$1,INPUT!$A$5:$AJ$51,24,FALSE)</f>
        <v>17949</v>
      </c>
      <c r="F12" s="28">
        <f>VLOOKUP(INPUT!$A$1,INPUT!$A$5:$AJ$51,25,FALSE)</f>
        <v>202434</v>
      </c>
      <c r="G12" s="21">
        <f>VLOOKUP(INPUT!$A$1,INPUT!$A$5:$AJ$51,26,FALSE)</f>
        <v>2028</v>
      </c>
    </row>
    <row r="13" spans="1:7" ht="28" customHeight="1" x14ac:dyDescent="0.3">
      <c r="A13" s="50"/>
      <c r="B13" s="3">
        <f>$B$5</f>
        <v>2020</v>
      </c>
      <c r="C13" s="28">
        <f>VLOOKUP(INPUT!$A$2,INPUT!$A$5:$AJ$51,22,FALSE)</f>
        <v>139899</v>
      </c>
      <c r="D13" s="28">
        <f>VLOOKUP(INPUT!$A$2,INPUT!$A$5:$AJ$51,23,FALSE)</f>
        <v>101035</v>
      </c>
      <c r="E13" s="22">
        <f>VLOOKUP(INPUT!$A$2,INPUT!$A$5:$AJ$51,24,FALSE)</f>
        <v>10802</v>
      </c>
      <c r="F13" s="28">
        <f>VLOOKUP(INPUT!$A$2,INPUT!$A$5:$AJ$51,25,FALSE)</f>
        <v>74147</v>
      </c>
      <c r="G13" s="21">
        <f>VLOOKUP(INPUT!$A$2,INPUT!$A$5:$AJ$51,26,FALSE)</f>
        <v>36</v>
      </c>
    </row>
    <row r="14" spans="1:7" ht="28" customHeight="1" x14ac:dyDescent="0.3">
      <c r="A14" s="49" t="s">
        <v>11</v>
      </c>
      <c r="B14" s="3">
        <f>$B$4</f>
        <v>2021</v>
      </c>
      <c r="C14" s="28">
        <f>VLOOKUP(INPUT!$A$1,INPUT!$A$5:$AJ$51,27,FALSE)</f>
        <v>39994</v>
      </c>
      <c r="D14" s="28">
        <f>VLOOKUP(INPUT!$A$1,INPUT!$A$5:$AJ$51,28,FALSE)</f>
        <v>15759</v>
      </c>
      <c r="E14" s="22">
        <f>VLOOKUP(INPUT!$A$1,INPUT!$A$5:$AJ$51,29,FALSE)</f>
        <v>4544</v>
      </c>
      <c r="F14" s="28">
        <f>VLOOKUP(INPUT!$A$1,INPUT!$A$5:$AJ$51,30,FALSE)</f>
        <v>29564</v>
      </c>
      <c r="G14" s="21">
        <f>VLOOKUP(INPUT!$A$1,INPUT!$A$5:$AJ$51,31,FALSE)</f>
        <v>13305</v>
      </c>
    </row>
    <row r="15" spans="1:7" ht="28" customHeight="1" x14ac:dyDescent="0.3">
      <c r="A15" s="50"/>
      <c r="B15" s="3">
        <f>$B$5</f>
        <v>2020</v>
      </c>
      <c r="C15" s="28">
        <f>VLOOKUP(INPUT!$A$2,INPUT!$A$5:$AJ$51,27,FALSE)</f>
        <v>23990</v>
      </c>
      <c r="D15" s="28">
        <f>VLOOKUP(INPUT!$A$2,INPUT!$A$5:$AJ$51,28,FALSE)</f>
        <v>15445</v>
      </c>
      <c r="E15" s="22">
        <f>VLOOKUP(INPUT!$A$2,INPUT!$A$5:$AJ$51,29,FALSE)</f>
        <v>5523</v>
      </c>
      <c r="F15" s="28">
        <f>VLOOKUP(INPUT!$A$2,INPUT!$A$5:$AJ$51,30,FALSE)</f>
        <v>5373</v>
      </c>
      <c r="G15" s="21">
        <f>VLOOKUP(INPUT!$A$2,INPUT!$A$5:$AJ$51,31,FALSE)</f>
        <v>1526</v>
      </c>
    </row>
    <row r="16" spans="1:7" ht="28" customHeight="1" x14ac:dyDescent="0.3">
      <c r="A16" s="49" t="s">
        <v>12</v>
      </c>
      <c r="B16" s="3">
        <f>$B$4</f>
        <v>2021</v>
      </c>
      <c r="C16" s="28">
        <f>VLOOKUP(INPUT!$A$1,INPUT!$A$5:$AJ$51,32,FALSE)</f>
        <v>597120</v>
      </c>
      <c r="D16" s="28">
        <f>VLOOKUP(INPUT!$A$1,INPUT!$A$5:$AJ$51,33,FALSE)</f>
        <v>236778</v>
      </c>
      <c r="E16" s="22">
        <f>VLOOKUP(INPUT!$A$1,INPUT!$A$5:$AJ$51,34,FALSE)</f>
        <v>52974</v>
      </c>
      <c r="F16" s="28">
        <f>VLOOKUP(INPUT!$A$1,INPUT!$A$5:$AJ$51,35,FALSE)</f>
        <v>521969</v>
      </c>
      <c r="G16" s="21">
        <f>VLOOKUP(INPUT!$A$1,INPUT!$A$5:$AJ$51,36,FALSE)</f>
        <v>55179</v>
      </c>
    </row>
    <row r="17" spans="1:7" ht="28" customHeight="1" x14ac:dyDescent="0.3">
      <c r="A17" s="50"/>
      <c r="B17" s="3">
        <f>$B$5</f>
        <v>2020</v>
      </c>
      <c r="C17" s="21">
        <f>VLOOKUP(INPUT!$A$2,INPUT!$A$5:$AJ$51,32,FALSE)</f>
        <v>332662</v>
      </c>
      <c r="D17" s="21">
        <f>VLOOKUP(INPUT!$A$2,INPUT!$A$5:$AJ$51,33,FALSE)</f>
        <v>229116</v>
      </c>
      <c r="E17" s="21">
        <f>VLOOKUP(INPUT!$A$2,INPUT!$A$5:$AJ$51,34,FALSE)</f>
        <v>31652</v>
      </c>
      <c r="F17" s="21">
        <f>VLOOKUP(INPUT!$A$2,INPUT!$A$5:$AJ$51,35,FALSE)</f>
        <v>206595</v>
      </c>
      <c r="G17" s="21">
        <f>VLOOKUP(INPUT!$A$2,INPUT!$A$5:$AJ$51,36,FALSE)</f>
        <v>12969</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BFSy2jPjsTWGm+dymshV5zb/Nx/+ceMOmZg+WcqoAHIC8aVzP56EjluAuY58TuEOGL+EzoKrhC0z3qJR8p3HJg==" saltValue="LcaCvA8Xou5SZi3haXidgw=="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2022-02-01T21:05:12Z</dcterms:modified>
</cp:coreProperties>
</file>