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R:\Railroad Financial Conferences Reports to Commissioners\Q4 2023\Fuel\"/>
    </mc:Choice>
  </mc:AlternateContent>
  <xr:revisionPtr revIDLastSave="0" documentId="13_ncr:1_{A6872BC3-F723-4FF5-8131-4B3DC642D3C2}" xr6:coauthVersionLast="47" xr6:coauthVersionMax="47" xr10:uidLastSave="{00000000-0000-0000-0000-000000000000}"/>
  <workbookProtection workbookAlgorithmName="SHA-512" workbookHashValue="SsdzivCwzcGPQTQaDzKZhPXw2vDaFrA7MNdyIEjYC/3fVKg/oRJbo6DMy1pyAUplytiSI20TCZ+eBiHL376fCw==" workbookSaltValue="Lubc2Rs/cbah+GisI7IpBg==" workbookSpinCount="100000" lockStructure="1"/>
  <bookViews>
    <workbookView xWindow="0" yWindow="380" windowWidth="19200" windowHeight="958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<sst xmlns="http://schemas.openxmlformats.org/spreadsheetml/2006/main" count="100" uniqueCount="63">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</sst>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0" zoomScaleNormal="70" workbookViewId="0">
      <pane xSplit="1" ySplit="6" topLeftCell="B31" activePane="bottomRight" state="frozen"/>
      <selection pane="topRight" activeCell="B1" sqref="B1"/>
      <selection pane="bottomLeft" activeCell="A7" sqref="A7"/>
      <selection pane="bottomRight" activeCell="K31" sqref="K31"/>
    </sheetView>
  </sheetViews>
  <sheetFormatPr defaultRowHeight="10" x14ac:dyDescent="0.2"/>
  <cols>
    <col min="1" max="1" width="34.796875"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0" t="s">
        <v>62</v>
      </c>
      <c r="B1" s="27" t="s">
        <v>46</v>
      </c>
      <c r="D1" s="27"/>
      <c r="E1" s="27"/>
      <c r="F1" s="39"/>
      <c r="G1" s="10"/>
    </row>
    <row r="2" spans="1:36" ht="30" customHeight="1" x14ac:dyDescent="0.2">
      <c r="A2" s="30" t="s">
        <v>58</v>
      </c>
      <c r="B2" s="27" t="s">
        <v>46</v>
      </c>
      <c r="D2" s="35"/>
      <c r="E2" s="27"/>
      <c r="F2" s="39"/>
      <c r="G2" s="10"/>
      <c r="I2" s="31"/>
      <c r="L2" s="32"/>
    </row>
    <row r="3" spans="1:36" ht="14.5" x14ac:dyDescent="0.2">
      <c r="A3" s="30">
        <v>2023</v>
      </c>
      <c r="C3" s="33"/>
      <c r="I3" s="33"/>
    </row>
    <row r="4" spans="1:36" ht="15" thickBot="1" x14ac:dyDescent="0.25">
      <c r="A4" s="28">
        <f>A3-1</f>
        <v>2022</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95.5" customHeight="1"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v>922084</v>
      </c>
      <c r="AG7" s="15">
        <v>301614</v>
      </c>
      <c r="AH7" s="15">
        <v>837</v>
      </c>
      <c r="AI7" s="15">
        <v>725883</v>
      </c>
      <c r="AJ7" s="17">
        <v>87204</v>
      </c>
    </row>
    <row r="8" spans="1:36" s="10" customFormat="1" x14ac:dyDescent="0.2">
      <c r="A8" s="9" t="s">
        <v>14</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v>882281</v>
      </c>
      <c r="AG8" s="15">
        <v>295963</v>
      </c>
      <c r="AH8" s="15">
        <v>-39802</v>
      </c>
      <c r="AI8" s="15">
        <v>720965</v>
      </c>
      <c r="AJ8" s="17">
        <v>85751</v>
      </c>
    </row>
    <row r="9" spans="1:36" s="10" customFormat="1" x14ac:dyDescent="0.2">
      <c r="A9" s="9" t="s">
        <v>15</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v>813231</v>
      </c>
      <c r="AG9" s="15">
        <v>309529</v>
      </c>
      <c r="AH9" s="15">
        <v>-69050</v>
      </c>
      <c r="AI9" s="15">
        <v>656218</v>
      </c>
      <c r="AJ9" s="17">
        <v>85489</v>
      </c>
    </row>
    <row r="10" spans="1:36" s="10" customFormat="1" x14ac:dyDescent="0.2">
      <c r="A10" s="9" t="s">
        <v>16</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v>564610</v>
      </c>
      <c r="AG10" s="15">
        <v>293581</v>
      </c>
      <c r="AH10" s="15">
        <v>-248622</v>
      </c>
      <c r="AI10" s="15">
        <v>447308</v>
      </c>
      <c r="AJ10" s="17">
        <v>59078</v>
      </c>
    </row>
    <row r="11" spans="1:36" s="10" customFormat="1" x14ac:dyDescent="0.2">
      <c r="A11" s="9" t="s">
        <v>17</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v>540434</v>
      </c>
      <c r="AG11" s="15">
        <v>275909</v>
      </c>
      <c r="AH11" s="15">
        <v>-24176</v>
      </c>
      <c r="AI11" s="15">
        <v>326640</v>
      </c>
      <c r="AJ11" s="17">
        <v>31796</v>
      </c>
    </row>
    <row r="12" spans="1:36" s="10" customFormat="1" x14ac:dyDescent="0.2">
      <c r="A12" s="9" t="s">
        <v>35</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v>483764</v>
      </c>
      <c r="AG12" s="15">
        <v>271611</v>
      </c>
      <c r="AH12" s="15">
        <v>-56670</v>
      </c>
      <c r="AI12" s="15">
        <v>314055</v>
      </c>
      <c r="AJ12" s="17">
        <v>32402</v>
      </c>
    </row>
    <row r="13" spans="1:36" s="10" customFormat="1" x14ac:dyDescent="0.2">
      <c r="A13" s="9" t="s">
        <v>24</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v>424165</v>
      </c>
      <c r="AG13" s="15">
        <v>266310</v>
      </c>
      <c r="AH13" s="15">
        <v>-59599</v>
      </c>
      <c r="AI13" s="15">
        <v>218079</v>
      </c>
      <c r="AJ13" s="17">
        <v>19834</v>
      </c>
    </row>
    <row r="14" spans="1:36" s="10" customFormat="1" x14ac:dyDescent="0.2">
      <c r="A14" s="9" t="s">
        <v>25</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v>320213</v>
      </c>
      <c r="AG14" s="15">
        <v>257872</v>
      </c>
      <c r="AH14" s="15">
        <v>-103952</v>
      </c>
      <c r="AI14" s="15">
        <v>112902</v>
      </c>
      <c r="AJ14" s="17">
        <v>8835</v>
      </c>
    </row>
    <row r="15" spans="1:36" s="10" customFormat="1" x14ac:dyDescent="0.2">
      <c r="A15" s="9" t="s">
        <v>26</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v>346137</v>
      </c>
      <c r="AG15" s="15">
        <v>241923</v>
      </c>
      <c r="AH15" s="15">
        <v>25924</v>
      </c>
      <c r="AI15" s="15">
        <v>87187</v>
      </c>
      <c r="AJ15" s="17">
        <v>301</v>
      </c>
    </row>
    <row r="16" spans="1:36" s="10" customFormat="1" x14ac:dyDescent="0.2">
      <c r="A16" s="9" t="s">
        <v>36</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v>392079</v>
      </c>
      <c r="AG16" s="15">
        <v>252357</v>
      </c>
      <c r="AH16" s="15">
        <v>45942</v>
      </c>
      <c r="AI16" s="15">
        <v>173020</v>
      </c>
      <c r="AJ16" s="17">
        <v>12897</v>
      </c>
    </row>
    <row r="17" spans="1:36" s="10" customFormat="1" x14ac:dyDescent="0.2">
      <c r="A17" s="9" t="s">
        <v>27</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v>430792</v>
      </c>
      <c r="AG17" s="15">
        <v>262663</v>
      </c>
      <c r="AH17" s="15">
        <v>38713</v>
      </c>
      <c r="AI17" s="15">
        <v>186994</v>
      </c>
      <c r="AJ17" s="17">
        <v>13606</v>
      </c>
    </row>
    <row r="18" spans="1:36" s="10" customFormat="1" x14ac:dyDescent="0.2">
      <c r="A18" s="9" t="s">
        <v>28</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v>460180</v>
      </c>
      <c r="AG18" s="15">
        <v>263571</v>
      </c>
      <c r="AH18" s="15">
        <v>29388</v>
      </c>
      <c r="AI18" s="15">
        <v>211692</v>
      </c>
      <c r="AJ18" s="17">
        <v>16889</v>
      </c>
    </row>
    <row r="19" spans="1:36" s="10" customFormat="1" x14ac:dyDescent="0.2">
      <c r="A19" s="9" t="s">
        <v>29</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v>433778</v>
      </c>
      <c r="AG19" s="15">
        <v>257102</v>
      </c>
      <c r="AH19" s="15">
        <v>-26402</v>
      </c>
      <c r="AI19" s="15">
        <v>223893</v>
      </c>
      <c r="AJ19" s="17">
        <v>18954</v>
      </c>
    </row>
    <row r="20" spans="1:36" s="10" customFormat="1" x14ac:dyDescent="0.2">
      <c r="A20" s="9" t="s">
        <v>37</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v>449705.26535999333</v>
      </c>
      <c r="AG20" s="15">
        <v>255052.48309465582</v>
      </c>
      <c r="AH20" s="15">
        <v>15927.026729993324</v>
      </c>
      <c r="AI20" s="15">
        <v>226993.13878000001</v>
      </c>
      <c r="AJ20" s="17">
        <v>17193.208320000002</v>
      </c>
    </row>
    <row r="21" spans="1:36" s="10" customFormat="1" x14ac:dyDescent="0.2">
      <c r="A21" s="9" t="s">
        <v>30</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v>546967</v>
      </c>
      <c r="AG21" s="15">
        <v>270656</v>
      </c>
      <c r="AH21" s="15">
        <v>97262</v>
      </c>
      <c r="AI21" s="15">
        <v>293595</v>
      </c>
      <c r="AJ21" s="17">
        <v>24723</v>
      </c>
    </row>
    <row r="22" spans="1:36" s="10" customFormat="1" x14ac:dyDescent="0.2">
      <c r="A22" s="9" t="s">
        <v>38</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v>588919</v>
      </c>
      <c r="AG22" s="15">
        <v>276985</v>
      </c>
      <c r="AH22" s="15">
        <v>41952</v>
      </c>
      <c r="AI22" s="15">
        <v>353068</v>
      </c>
      <c r="AJ22" s="17">
        <v>33621</v>
      </c>
    </row>
    <row r="23" spans="1:36" s="10" customFormat="1" x14ac:dyDescent="0.2">
      <c r="A23" s="9" t="s">
        <v>39</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v>643543.66261999996</v>
      </c>
      <c r="AG23" s="15">
        <v>280641.61385276983</v>
      </c>
      <c r="AH23" s="15">
        <v>54625.432599999898</v>
      </c>
      <c r="AI23" s="15">
        <v>411666</v>
      </c>
      <c r="AJ23" s="17">
        <v>37556</v>
      </c>
    </row>
    <row r="24" spans="1:36" s="10" customFormat="1" x14ac:dyDescent="0.2">
      <c r="A24" s="9" t="s">
        <v>40</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v>658792.21455999999</v>
      </c>
      <c r="AG24" s="15">
        <v>277256.81983129442</v>
      </c>
      <c r="AH24" s="15">
        <v>15248.351940000077</v>
      </c>
      <c r="AI24" s="15">
        <v>482214</v>
      </c>
      <c r="AJ24" s="17">
        <v>43981</v>
      </c>
    </row>
    <row r="25" spans="1:36" s="10" customFormat="1" x14ac:dyDescent="0.2">
      <c r="A25" s="9" t="s">
        <v>41</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v>639529.82273999997</v>
      </c>
      <c r="AG25" s="15">
        <v>275441.2726417738</v>
      </c>
      <c r="AH25" s="15">
        <v>-19262.391820000128</v>
      </c>
      <c r="AI25" s="15">
        <v>488207</v>
      </c>
      <c r="AJ25" s="17">
        <v>41343</v>
      </c>
    </row>
    <row r="26" spans="1:36" s="10" customFormat="1" x14ac:dyDescent="0.2">
      <c r="A26" s="9" t="s">
        <v>42</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v>530924.37625999993</v>
      </c>
      <c r="AG26" s="15">
        <v>258184.68607168036</v>
      </c>
      <c r="AH26" s="15">
        <v>-108606.44647999991</v>
      </c>
      <c r="AI26" s="15">
        <v>397476.07897999999</v>
      </c>
      <c r="AJ26" s="17">
        <v>37060.327589999994</v>
      </c>
    </row>
    <row r="27" spans="1:36" s="10" customFormat="1" x14ac:dyDescent="0.2">
      <c r="A27" s="9" t="s">
        <v>43</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v>560530</v>
      </c>
      <c r="AG27" s="15">
        <v>254342</v>
      </c>
      <c r="AH27" s="15">
        <v>29605.62374000001</v>
      </c>
      <c r="AI27" s="15">
        <v>399560.05440000002</v>
      </c>
      <c r="AJ27" s="17">
        <v>34938.786270000004</v>
      </c>
    </row>
    <row r="28" spans="1:36" s="10" customFormat="1" x14ac:dyDescent="0.2">
      <c r="A28" s="9" t="s">
        <v>44</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v>503687</v>
      </c>
      <c r="AG28" s="15">
        <v>241785</v>
      </c>
      <c r="AH28" s="15">
        <v>-56843</v>
      </c>
      <c r="AI28" s="15">
        <v>392606.0429</v>
      </c>
      <c r="AJ28" s="17">
        <v>35067.428849999997</v>
      </c>
    </row>
    <row r="29" spans="1:36" s="10" customFormat="1" x14ac:dyDescent="0.2">
      <c r="A29" s="9" t="s">
        <v>45</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v>511614</v>
      </c>
      <c r="AG29" s="15">
        <v>238303</v>
      </c>
      <c r="AH29" s="15">
        <v>7927</v>
      </c>
      <c r="AI29" s="15">
        <v>362950.81411000004</v>
      </c>
      <c r="AJ29" s="17">
        <v>32649.789230000002</v>
      </c>
    </row>
    <row r="30" spans="1:36" s="10" customFormat="1" x14ac:dyDescent="0.2">
      <c r="A30" s="9" t="s">
        <v>47</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v>434335</v>
      </c>
      <c r="AG30" s="15">
        <v>234214</v>
      </c>
      <c r="AH30" s="15">
        <v>-77279</v>
      </c>
      <c r="AI30" s="15">
        <v>351442</v>
      </c>
      <c r="AJ30" s="17">
        <v>32705</v>
      </c>
    </row>
    <row r="31" spans="1:36" s="10" customFormat="1" x14ac:dyDescent="0.2">
      <c r="A31" s="9" t="s">
        <v>48</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v>246283</v>
      </c>
      <c r="AG31" s="15">
        <v>195214</v>
      </c>
      <c r="AH31" s="15">
        <v>-188052</v>
      </c>
      <c r="AI31" s="15">
        <v>206166</v>
      </c>
      <c r="AJ31" s="17">
        <v>19539</v>
      </c>
    </row>
    <row r="32" spans="1:36" s="10" customFormat="1" x14ac:dyDescent="0.2">
      <c r="A32" s="9" t="s">
        <v>49</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v>301010</v>
      </c>
      <c r="AG32" s="15">
        <v>221488</v>
      </c>
      <c r="AH32" s="15">
        <v>54727</v>
      </c>
      <c r="AI32" s="15">
        <v>202401</v>
      </c>
      <c r="AJ32" s="17">
        <v>11252</v>
      </c>
    </row>
    <row r="33" spans="1:36" s="10" customFormat="1" x14ac:dyDescent="0.2">
      <c r="A33" s="9" t="s">
        <v>50</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v>332662</v>
      </c>
      <c r="AG33" s="15">
        <v>229116</v>
      </c>
      <c r="AH33" s="15">
        <v>31652</v>
      </c>
      <c r="AI33" s="15">
        <v>206595</v>
      </c>
      <c r="AJ33" s="17">
        <v>12969</v>
      </c>
    </row>
    <row r="34" spans="1:36" x14ac:dyDescent="0.2">
      <c r="A34" s="9" t="s">
        <v>51</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v>411234</v>
      </c>
      <c r="AG34" s="15">
        <v>223294</v>
      </c>
      <c r="AH34" s="15">
        <v>78572</v>
      </c>
      <c r="AI34" s="15">
        <v>259667</v>
      </c>
      <c r="AJ34" s="17">
        <v>17253</v>
      </c>
    </row>
    <row r="35" spans="1:36" s="10" customFormat="1" x14ac:dyDescent="0.2">
      <c r="A35" s="9" t="s">
        <v>52</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v>497003</v>
      </c>
      <c r="AG35" s="15">
        <v>230759</v>
      </c>
      <c r="AH35" s="15">
        <v>85769</v>
      </c>
      <c r="AI35" s="15">
        <v>414518</v>
      </c>
      <c r="AJ35" s="17">
        <v>34296</v>
      </c>
    </row>
    <row r="36" spans="1:36" s="10" customFormat="1" x14ac:dyDescent="0.2">
      <c r="A36" s="9" t="s">
        <v>53</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v>544146</v>
      </c>
      <c r="AG36" s="15">
        <v>229833</v>
      </c>
      <c r="AH36" s="15">
        <v>47143</v>
      </c>
      <c r="AI36" s="15">
        <v>463351</v>
      </c>
      <c r="AJ36" s="17">
        <v>37778</v>
      </c>
    </row>
    <row r="37" spans="1:36" s="10" customFormat="1" x14ac:dyDescent="0.2">
      <c r="A37" s="9" t="s">
        <v>54</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v>597120</v>
      </c>
      <c r="AG37" s="15">
        <v>236778</v>
      </c>
      <c r="AH37" s="15">
        <v>52974</v>
      </c>
      <c r="AI37" s="15">
        <v>521969</v>
      </c>
      <c r="AJ37" s="17">
        <v>55179</v>
      </c>
    </row>
    <row r="38" spans="1:36" s="10" customFormat="1" x14ac:dyDescent="0.2">
      <c r="A38" s="9" t="s">
        <v>55</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v>713650</v>
      </c>
      <c r="AG38" s="15">
        <v>241967</v>
      </c>
      <c r="AH38" s="15">
        <v>116530</v>
      </c>
      <c r="AI38" s="15">
        <v>634523</v>
      </c>
      <c r="AJ38" s="17">
        <v>59241</v>
      </c>
    </row>
    <row r="39" spans="1:36" x14ac:dyDescent="0.2">
      <c r="A39" s="9" t="s">
        <v>56</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v>940898</v>
      </c>
      <c r="AG39" s="15">
        <v>234242</v>
      </c>
      <c r="AH39" s="15">
        <v>227248</v>
      </c>
      <c r="AI39" s="15">
        <v>976917</v>
      </c>
      <c r="AJ39" s="17">
        <v>93301</v>
      </c>
    </row>
    <row r="40" spans="1:36" s="10" customFormat="1" x14ac:dyDescent="0.2">
      <c r="A40" s="9" t="s">
        <v>57</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v>931814</v>
      </c>
      <c r="AG40" s="15">
        <v>236605</v>
      </c>
      <c r="AH40" s="15">
        <v>-9084</v>
      </c>
      <c r="AI40" s="15">
        <v>1152156.9036800002</v>
      </c>
      <c r="AJ40" s="17">
        <v>120249.53015899999</v>
      </c>
    </row>
    <row r="41" spans="1:36" x14ac:dyDescent="0.2">
      <c r="A41" s="20" t="s">
        <v>58</v>
      </c>
      <c r="B41" s="21">
        <v>1189980</v>
      </c>
      <c r="C41" s="22">
        <v>316664.83211225079</v>
      </c>
      <c r="D41" s="22">
        <v>-107380</v>
      </c>
      <c r="E41" s="22">
        <v>954137</v>
      </c>
      <c r="F41" s="23">
        <v>156009</v>
      </c>
      <c r="G41" s="21">
        <v>368135</v>
      </c>
      <c r="H41" s="22">
        <v>98370</v>
      </c>
      <c r="I41" s="22">
        <v>-22927</v>
      </c>
      <c r="J41" s="22">
        <v>405948</v>
      </c>
      <c r="K41" s="23">
        <v>1460</v>
      </c>
      <c r="L41" s="21">
        <v>129403</v>
      </c>
      <c r="M41" s="22">
        <v>35057</v>
      </c>
      <c r="N41" s="22">
        <v>3907</v>
      </c>
      <c r="O41" s="22">
        <v>130341</v>
      </c>
      <c r="P41" s="23">
        <v>20123</v>
      </c>
      <c r="Q41" s="21">
        <v>63177</v>
      </c>
      <c r="R41" s="22">
        <v>17514</v>
      </c>
      <c r="S41" s="22">
        <v>1171</v>
      </c>
      <c r="T41" s="22">
        <v>71338</v>
      </c>
      <c r="U41" s="23">
        <v>22589</v>
      </c>
      <c r="V41" s="21">
        <v>374699</v>
      </c>
      <c r="W41" s="22">
        <v>100950</v>
      </c>
      <c r="X41" s="22">
        <v>-14925</v>
      </c>
      <c r="Y41" s="22">
        <v>406678</v>
      </c>
      <c r="Z41" s="23">
        <v>5635</v>
      </c>
      <c r="AA41" s="21">
        <v>63165</v>
      </c>
      <c r="AB41" s="22">
        <v>16160</v>
      </c>
      <c r="AC41" s="22">
        <v>-3746</v>
      </c>
      <c r="AD41" s="22">
        <v>63433</v>
      </c>
      <c r="AE41" s="23">
        <v>33197</v>
      </c>
      <c r="AF41" s="21">
        <v>852740</v>
      </c>
      <c r="AG41" s="22">
        <v>231607</v>
      </c>
      <c r="AH41" s="22">
        <v>-79074</v>
      </c>
      <c r="AI41" s="22">
        <v>975017.64049999998</v>
      </c>
      <c r="AJ41" s="23">
        <v>116997.15854999999</v>
      </c>
    </row>
    <row r="42" spans="1:36" s="10" customFormat="1" x14ac:dyDescent="0.2">
      <c r="A42" s="9" t="s">
        <v>59</v>
      </c>
      <c r="B42" s="16">
        <v>980875</v>
      </c>
      <c r="C42" s="15">
        <v>300622.56397371471</v>
      </c>
      <c r="D42" s="15">
        <v>-209105</v>
      </c>
      <c r="E42" s="15">
        <v>780722</v>
      </c>
      <c r="F42" s="17">
        <v>114087</v>
      </c>
      <c r="G42" s="16">
        <v>325866</v>
      </c>
      <c r="H42" s="15">
        <v>102771</v>
      </c>
      <c r="I42" s="15">
        <v>-42269</v>
      </c>
      <c r="J42" s="15">
        <v>360103</v>
      </c>
      <c r="K42" s="17">
        <v>1370</v>
      </c>
      <c r="L42" s="16">
        <v>100435</v>
      </c>
      <c r="M42" s="15">
        <v>32023</v>
      </c>
      <c r="N42" s="15">
        <v>-28968</v>
      </c>
      <c r="O42" s="15">
        <v>119603</v>
      </c>
      <c r="P42" s="17">
        <v>17367</v>
      </c>
      <c r="Q42" s="16">
        <v>51954</v>
      </c>
      <c r="R42" s="15">
        <v>17218</v>
      </c>
      <c r="S42" s="15">
        <v>-11223</v>
      </c>
      <c r="T42" s="15">
        <v>59100</v>
      </c>
      <c r="U42" s="17">
        <v>19076</v>
      </c>
      <c r="V42" s="16">
        <v>321075</v>
      </c>
      <c r="W42" s="15">
        <v>102693</v>
      </c>
      <c r="X42" s="15">
        <v>-53624</v>
      </c>
      <c r="Y42" s="15">
        <v>372043</v>
      </c>
      <c r="Z42" s="17">
        <v>5512</v>
      </c>
      <c r="AA42" s="16">
        <v>51979</v>
      </c>
      <c r="AB42" s="15">
        <v>16276</v>
      </c>
      <c r="AC42" s="15">
        <v>-11185</v>
      </c>
      <c r="AD42" s="15">
        <v>40637</v>
      </c>
      <c r="AE42" s="17">
        <v>26661</v>
      </c>
      <c r="AF42" s="16">
        <v>766399</v>
      </c>
      <c r="AG42" s="15">
        <v>238530</v>
      </c>
      <c r="AH42" s="15">
        <v>-86341</v>
      </c>
      <c r="AI42" s="15">
        <v>882712</v>
      </c>
      <c r="AJ42" s="17">
        <v>103171</v>
      </c>
    </row>
    <row r="43" spans="1:36" x14ac:dyDescent="0.2">
      <c r="A43" s="9" t="s">
        <v>60</v>
      </c>
      <c r="B43" s="16">
        <v>849469</v>
      </c>
      <c r="C43" s="15">
        <v>294855</v>
      </c>
      <c r="D43" s="15">
        <v>-131406</v>
      </c>
      <c r="E43" s="15">
        <v>617874</v>
      </c>
      <c r="F43" s="17">
        <v>64768</v>
      </c>
      <c r="G43" s="16">
        <v>280261</v>
      </c>
      <c r="H43" s="15">
        <v>101742</v>
      </c>
      <c r="I43" s="15">
        <v>-45605</v>
      </c>
      <c r="J43" s="15">
        <v>295159</v>
      </c>
      <c r="K43" s="17">
        <v>901</v>
      </c>
      <c r="L43" s="16">
        <v>92751</v>
      </c>
      <c r="M43" s="15">
        <v>32849</v>
      </c>
      <c r="N43" s="15">
        <v>-7684</v>
      </c>
      <c r="O43" s="15">
        <v>87167</v>
      </c>
      <c r="P43" s="17">
        <v>7824</v>
      </c>
      <c r="Q43" s="16">
        <v>45376</v>
      </c>
      <c r="R43" s="15">
        <v>16979</v>
      </c>
      <c r="S43" s="15">
        <v>-6578</v>
      </c>
      <c r="T43" s="15">
        <v>47548</v>
      </c>
      <c r="U43" s="17">
        <v>14140</v>
      </c>
      <c r="V43" s="16">
        <v>268948</v>
      </c>
      <c r="W43" s="15">
        <v>100513</v>
      </c>
      <c r="X43" s="15">
        <v>-52127</v>
      </c>
      <c r="Y43" s="15">
        <v>287171</v>
      </c>
      <c r="Z43" s="17">
        <v>4374</v>
      </c>
      <c r="AA43" s="16">
        <v>45151.786950000002</v>
      </c>
      <c r="AB43" s="15">
        <v>15718.016267964835</v>
      </c>
      <c r="AC43" s="15">
        <v>-6827.6970700000093</v>
      </c>
      <c r="AD43" s="15">
        <v>33366</v>
      </c>
      <c r="AE43" s="17">
        <v>24510.092960000002</v>
      </c>
      <c r="AF43" s="16">
        <v>663210</v>
      </c>
      <c r="AG43" s="15">
        <v>232100</v>
      </c>
      <c r="AH43" s="15">
        <v>-103189</v>
      </c>
      <c r="AI43" s="15">
        <v>707691</v>
      </c>
      <c r="AJ43" s="17">
        <v>75333</v>
      </c>
    </row>
    <row r="44" spans="1:36" x14ac:dyDescent="0.2">
      <c r="A44" s="9" t="s">
        <v>61</v>
      </c>
      <c r="B44" s="16">
        <v>876472</v>
      </c>
      <c r="C44" s="15">
        <v>295163</v>
      </c>
      <c r="D44" s="15">
        <v>27003</v>
      </c>
      <c r="E44" s="15">
        <v>538566</v>
      </c>
      <c r="F44" s="17">
        <v>37974</v>
      </c>
      <c r="G44" s="16">
        <v>316133</v>
      </c>
      <c r="H44" s="15">
        <v>104818</v>
      </c>
      <c r="I44" s="15">
        <v>35872</v>
      </c>
      <c r="J44" s="15">
        <v>265406</v>
      </c>
      <c r="K44" s="17">
        <v>760</v>
      </c>
      <c r="L44" s="16">
        <v>89548</v>
      </c>
      <c r="M44" s="15">
        <v>29922</v>
      </c>
      <c r="N44" s="15">
        <v>-3203</v>
      </c>
      <c r="O44" s="15">
        <v>68224</v>
      </c>
      <c r="P44" s="17">
        <v>5267</v>
      </c>
      <c r="Q44" s="16">
        <v>50253</v>
      </c>
      <c r="R44" s="15">
        <v>17798</v>
      </c>
      <c r="S44" s="15">
        <v>4878</v>
      </c>
      <c r="T44" s="15">
        <v>46088</v>
      </c>
      <c r="U44" s="17">
        <v>13333</v>
      </c>
      <c r="V44" s="16">
        <v>295694</v>
      </c>
      <c r="W44" s="15">
        <v>98682</v>
      </c>
      <c r="X44" s="15">
        <v>26746</v>
      </c>
      <c r="Y44" s="15">
        <v>247183</v>
      </c>
      <c r="Z44" s="17">
        <v>2923</v>
      </c>
      <c r="AA44" s="16">
        <v>51649.692390000004</v>
      </c>
      <c r="AB44" s="15">
        <v>15723.873365414474</v>
      </c>
      <c r="AC44" s="15">
        <v>6497.9054400000023</v>
      </c>
      <c r="AD44" s="15">
        <v>29663</v>
      </c>
      <c r="AE44" s="17">
        <v>16345.8</v>
      </c>
      <c r="AF44" s="16">
        <v>702594</v>
      </c>
      <c r="AG44" s="15">
        <v>225671</v>
      </c>
      <c r="AH44" s="15">
        <v>39384</v>
      </c>
      <c r="AI44" s="15">
        <v>636563</v>
      </c>
      <c r="AJ44" s="17">
        <v>57655</v>
      </c>
    </row>
    <row r="45" spans="1:36" x14ac:dyDescent="0.2">
      <c r="A45" s="34" t="s">
        <v>62</v>
      </c>
      <c r="B45" s="36">
        <v>1036933</v>
      </c>
      <c r="C45" s="37">
        <v>315948</v>
      </c>
      <c r="D45" s="37">
        <v>160461</v>
      </c>
      <c r="E45" s="37">
        <v>743316</v>
      </c>
      <c r="F45" s="38">
        <v>101113</v>
      </c>
      <c r="G45" s="36">
        <v>317084</v>
      </c>
      <c r="H45" s="37">
        <v>103106</v>
      </c>
      <c r="I45" s="37">
        <v>951</v>
      </c>
      <c r="J45" s="37">
        <v>333672</v>
      </c>
      <c r="K45" s="38">
        <v>594</v>
      </c>
      <c r="L45" s="36">
        <v>105997</v>
      </c>
      <c r="M45" s="37">
        <v>35049</v>
      </c>
      <c r="N45" s="37">
        <v>16449</v>
      </c>
      <c r="O45" s="37">
        <v>98273</v>
      </c>
      <c r="P45" s="38">
        <v>12735</v>
      </c>
      <c r="Q45" s="36">
        <v>45831</v>
      </c>
      <c r="R45" s="37">
        <v>17272</v>
      </c>
      <c r="S45" s="37">
        <v>-4423</v>
      </c>
      <c r="T45" s="37">
        <v>56599</v>
      </c>
      <c r="U45" s="38">
        <v>17234</v>
      </c>
      <c r="V45" s="36">
        <v>309020</v>
      </c>
      <c r="W45" s="37">
        <v>102638</v>
      </c>
      <c r="X45" s="37">
        <v>13326</v>
      </c>
      <c r="Y45" s="37">
        <v>313945</v>
      </c>
      <c r="Z45" s="38">
        <v>4722</v>
      </c>
      <c r="AA45" s="36">
        <v>57789.847750000001</v>
      </c>
      <c r="AB45" s="37">
        <v>17593.466218834033</v>
      </c>
      <c r="AC45" s="37">
        <v>6140.155359999997</v>
      </c>
      <c r="AD45" s="37">
        <v>43471</v>
      </c>
      <c r="AE45" s="38">
        <v>20121.560000000001</v>
      </c>
      <c r="AF45" s="36">
        <v>758217</v>
      </c>
      <c r="AG45" s="37">
        <v>240211</v>
      </c>
      <c r="AH45" s="37">
        <v>55623</v>
      </c>
      <c r="AI45" s="37">
        <v>795036</v>
      </c>
      <c r="AJ45" s="38">
        <v>90472</v>
      </c>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WPefBJX4HMKQbCgdYMffCv/jJdRUKIoeEcgdhudX4zHPymCxjhk1sqpHmnbsmX/nAN5REUSkXIWaOL9X2IKAlw==" saltValue="iQJ7BUruOXS8dEB73cmLww=="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opLeftCell="A3" zoomScale="55" zoomScaleNormal="55" workbookViewId="0">
      <selection activeCell="N10" sqref="N10"/>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DECEMBER 31 2023</v>
      </c>
      <c r="C3" s="24" t="s">
        <v>2</v>
      </c>
      <c r="D3" s="24" t="s">
        <v>3</v>
      </c>
      <c r="E3" s="4" t="s">
        <v>4</v>
      </c>
      <c r="F3" s="24" t="s">
        <v>5</v>
      </c>
      <c r="G3" s="4" t="s">
        <v>6</v>
      </c>
    </row>
    <row r="4" spans="1:7" ht="28" customHeight="1" x14ac:dyDescent="0.3">
      <c r="A4" s="49" t="s">
        <v>7</v>
      </c>
      <c r="B4" s="3">
        <f>INPUT!A3</f>
        <v>2023</v>
      </c>
      <c r="C4" s="25">
        <f>VLOOKUP(INPUT!$A$1,INPUT!$A$5:$AJ$51,2,FALSE)</f>
        <v>1036933</v>
      </c>
      <c r="D4" s="25">
        <f>VLOOKUP(INPUT!$A$1,INPUT!$A$5:$AJ$51,3,FALSE)</f>
        <v>315948</v>
      </c>
      <c r="E4" s="19">
        <f>VLOOKUP(INPUT!$A$1,INPUT!$A$5:$AJ$51,4,FALSE)</f>
        <v>160461</v>
      </c>
      <c r="F4" s="25">
        <f>VLOOKUP(INPUT!$A$1,INPUT!$A$5:$AJ$51,5,FALSE)</f>
        <v>743316</v>
      </c>
      <c r="G4" s="18">
        <f>VLOOKUP(INPUT!$A$1,INPUT!$A$5:$AJ$51,6,FALSE)</f>
        <v>101113</v>
      </c>
    </row>
    <row r="5" spans="1:7" ht="28" customHeight="1" x14ac:dyDescent="0.3">
      <c r="A5" s="50"/>
      <c r="B5" s="3">
        <f>INPUT!A4</f>
        <v>2022</v>
      </c>
      <c r="C5" s="25">
        <f>VLOOKUP(INPUT!$A$2,INPUT!$A$5:$AJ$51,2,FALSE)</f>
        <v>1189980</v>
      </c>
      <c r="D5" s="25">
        <f>VLOOKUP(INPUT!$A$2,INPUT!$A$5:$AJ$51,3,FALSE)</f>
        <v>316664.83211225079</v>
      </c>
      <c r="E5" s="19">
        <f>VLOOKUP(INPUT!$A$2,INPUT!$A$5:$AJ$51,4,FALSE)</f>
        <v>-107380</v>
      </c>
      <c r="F5" s="25">
        <f>VLOOKUP(INPUT!$A$2,INPUT!$A$5:$AJ$51,5,FALSE)</f>
        <v>954137</v>
      </c>
      <c r="G5" s="18">
        <f>VLOOKUP(INPUT!$A$2,INPUT!$A$5:$AJ$51,6,FALSE)</f>
        <v>156009</v>
      </c>
    </row>
    <row r="6" spans="1:7" ht="28" customHeight="1" x14ac:dyDescent="0.3">
      <c r="A6" s="52" t="s">
        <v>19</v>
      </c>
      <c r="B6" s="3">
        <f>$B$4</f>
        <v>2023</v>
      </c>
      <c r="C6" s="29">
        <f>VLOOKUP(INPUT!$A$1,INPUT!$A$5:$AJ$51,7,FALSE)</f>
        <v>317084</v>
      </c>
      <c r="D6" s="25">
        <f>VLOOKUP(INPUT!$A$1,INPUT!$A$5:$AJ$51,8,FALSE)</f>
        <v>103106</v>
      </c>
      <c r="E6" s="19">
        <f>VLOOKUP(INPUT!$A$1,INPUT!$A$5:$AJ$51,9,FALSE)</f>
        <v>951</v>
      </c>
      <c r="F6" s="25">
        <f>VLOOKUP(INPUT!$A$1,INPUT!$A$5:$AJ$51,10,FALSE)</f>
        <v>333672</v>
      </c>
      <c r="G6" s="18">
        <f>VLOOKUP(INPUT!$A$1,INPUT!$A$5:$AJ$51,11,FALSE)</f>
        <v>594</v>
      </c>
    </row>
    <row r="7" spans="1:7" ht="28" customHeight="1" x14ac:dyDescent="0.3">
      <c r="A7" s="53"/>
      <c r="B7" s="3">
        <f>$B$5</f>
        <v>2022</v>
      </c>
      <c r="C7" s="29">
        <f>VLOOKUP(INPUT!$A$2,INPUT!$A$5:$AJ$51,7,FALSE)</f>
        <v>368135</v>
      </c>
      <c r="D7" s="25">
        <f>VLOOKUP(INPUT!$A$2,INPUT!$A$5:$AJ$51,8,FALSE)</f>
        <v>98370</v>
      </c>
      <c r="E7" s="19">
        <f>VLOOKUP(INPUT!$A$2,INPUT!$A$5:$AJ$51,9,FALSE)</f>
        <v>-22927</v>
      </c>
      <c r="F7" s="25">
        <f>VLOOKUP(INPUT!$A$2,INPUT!$A$5:$AJ$51,10,FALSE)</f>
        <v>405948</v>
      </c>
      <c r="G7" s="18">
        <f>VLOOKUP(INPUT!$A$2,INPUT!$A$5:$AJ$51,11,FALSE)</f>
        <v>1460</v>
      </c>
    </row>
    <row r="8" spans="1:7" ht="28" customHeight="1" x14ac:dyDescent="0.3">
      <c r="A8" s="49" t="s">
        <v>8</v>
      </c>
      <c r="B8" s="3">
        <f>$B$4</f>
        <v>2023</v>
      </c>
      <c r="C8" s="25">
        <f>VLOOKUP(INPUT!$A$1,INPUT!$A$5:$AJ$51,12,FALSE)</f>
        <v>105997</v>
      </c>
      <c r="D8" s="25">
        <f>VLOOKUP(INPUT!$A$1,INPUT!$A$5:$AJ$51,13,FALSE)</f>
        <v>35049</v>
      </c>
      <c r="E8" s="19">
        <f>VLOOKUP(INPUT!$A$1,INPUT!$A$5:$AJ$51,14,FALSE)</f>
        <v>16449</v>
      </c>
      <c r="F8" s="25">
        <f>VLOOKUP(INPUT!$A$1,INPUT!$A$5:$AJ$51,15,FALSE)</f>
        <v>98273</v>
      </c>
      <c r="G8" s="18">
        <f>VLOOKUP(INPUT!$A$1,INPUT!$A$5:$AJ$51,16,FALSE)</f>
        <v>12735</v>
      </c>
    </row>
    <row r="9" spans="1:7" ht="28" customHeight="1" x14ac:dyDescent="0.3">
      <c r="A9" s="50"/>
      <c r="B9" s="3">
        <f>$B$5</f>
        <v>2022</v>
      </c>
      <c r="C9" s="25">
        <f>VLOOKUP(INPUT!$A$2,INPUT!$A$5:$AJ$51,12,FALSE)</f>
        <v>129403</v>
      </c>
      <c r="D9" s="25">
        <f>VLOOKUP(INPUT!$A$2,INPUT!$A$5:$AJ$51,13,FALSE)</f>
        <v>35057</v>
      </c>
      <c r="E9" s="19">
        <f>VLOOKUP(INPUT!$A$2,INPUT!$A$5:$AJ$51,14,FALSE)</f>
        <v>3907</v>
      </c>
      <c r="F9" s="25">
        <f>VLOOKUP(INPUT!$A$2,INPUT!$A$5:$AJ$51,15,FALSE)</f>
        <v>130341</v>
      </c>
      <c r="G9" s="18">
        <f>VLOOKUP(INPUT!$A$2,INPUT!$A$5:$AJ$51,16,FALSE)</f>
        <v>20123</v>
      </c>
    </row>
    <row r="10" spans="1:7" ht="28" customHeight="1" x14ac:dyDescent="0.3">
      <c r="A10" s="49" t="s">
        <v>9</v>
      </c>
      <c r="B10" s="3">
        <f>$B$4</f>
        <v>2023</v>
      </c>
      <c r="C10" s="25">
        <f>VLOOKUP(INPUT!$A$1,INPUT!$A$5:$AJ$51,17,FALSE)</f>
        <v>45831</v>
      </c>
      <c r="D10" s="25">
        <f>VLOOKUP(INPUT!$A$1,INPUT!$A$5:$AJ$51,18,FALSE)</f>
        <v>17272</v>
      </c>
      <c r="E10" s="19">
        <f>VLOOKUP(INPUT!$A$1,INPUT!$A$5:$AJ$51,19,FALSE)</f>
        <v>-4423</v>
      </c>
      <c r="F10" s="25">
        <f>VLOOKUP(INPUT!$A$1,INPUT!$A$5:$AJ$51,20,FALSE)</f>
        <v>56599</v>
      </c>
      <c r="G10" s="18">
        <f>VLOOKUP(INPUT!$A$1,INPUT!$A$5:$AJ$51,21,FALSE)</f>
        <v>17234</v>
      </c>
    </row>
    <row r="11" spans="1:7" ht="28" customHeight="1" x14ac:dyDescent="0.3">
      <c r="A11" s="50"/>
      <c r="B11" s="3">
        <f>$B$5</f>
        <v>2022</v>
      </c>
      <c r="C11" s="25">
        <f>VLOOKUP(INPUT!$A$2,INPUT!$A$5:$AJ$51,17,FALSE)</f>
        <v>63177</v>
      </c>
      <c r="D11" s="25">
        <f>VLOOKUP(INPUT!$A$2,INPUT!$A$5:$AJ$51,18,FALSE)</f>
        <v>17514</v>
      </c>
      <c r="E11" s="19">
        <f>VLOOKUP(INPUT!$A$2,INPUT!$A$5:$AJ$51,19,FALSE)</f>
        <v>1171</v>
      </c>
      <c r="F11" s="25">
        <f>VLOOKUP(INPUT!$A$2,INPUT!$A$5:$AJ$51,20,FALSE)</f>
        <v>71338</v>
      </c>
      <c r="G11" s="18">
        <f>VLOOKUP(INPUT!$A$2,INPUT!$A$5:$AJ$51,21,FALSE)</f>
        <v>22589</v>
      </c>
    </row>
    <row r="12" spans="1:7" ht="28" customHeight="1" x14ac:dyDescent="0.3">
      <c r="A12" s="49" t="s">
        <v>10</v>
      </c>
      <c r="B12" s="3">
        <f>$B$4</f>
        <v>2023</v>
      </c>
      <c r="C12" s="25">
        <f>VLOOKUP(INPUT!$A$1,INPUT!$A$5:$AJ$51,22,FALSE)</f>
        <v>309020</v>
      </c>
      <c r="D12" s="25">
        <f>VLOOKUP(INPUT!$A$1,INPUT!$A$5:$AJ$51,23,FALSE)</f>
        <v>102638</v>
      </c>
      <c r="E12" s="19">
        <f>VLOOKUP(INPUT!$A$1,INPUT!$A$5:$AJ$51,24,FALSE)</f>
        <v>13326</v>
      </c>
      <c r="F12" s="25">
        <f>VLOOKUP(INPUT!$A$1,INPUT!$A$5:$AJ$51,25,FALSE)</f>
        <v>313945</v>
      </c>
      <c r="G12" s="18">
        <f>VLOOKUP(INPUT!$A$1,INPUT!$A$5:$AJ$51,26,FALSE)</f>
        <v>4722</v>
      </c>
    </row>
    <row r="13" spans="1:7" ht="28" customHeight="1" x14ac:dyDescent="0.3">
      <c r="A13" s="50"/>
      <c r="B13" s="3">
        <f>$B$5</f>
        <v>2022</v>
      </c>
      <c r="C13" s="25">
        <f>VLOOKUP(INPUT!$A$2,INPUT!$A$5:$AJ$51,22,FALSE)</f>
        <v>374699</v>
      </c>
      <c r="D13" s="25">
        <f>VLOOKUP(INPUT!$A$2,INPUT!$A$5:$AJ$51,23,FALSE)</f>
        <v>100950</v>
      </c>
      <c r="E13" s="19">
        <f>VLOOKUP(INPUT!$A$2,INPUT!$A$5:$AJ$51,24,FALSE)</f>
        <v>-14925</v>
      </c>
      <c r="F13" s="25">
        <f>VLOOKUP(INPUT!$A$2,INPUT!$A$5:$AJ$51,25,FALSE)</f>
        <v>406678</v>
      </c>
      <c r="G13" s="18">
        <f>VLOOKUP(INPUT!$A$2,INPUT!$A$5:$AJ$51,26,FALSE)</f>
        <v>5635</v>
      </c>
    </row>
    <row r="14" spans="1:7" ht="28" customHeight="1" x14ac:dyDescent="0.3">
      <c r="A14" s="49" t="s">
        <v>11</v>
      </c>
      <c r="B14" s="3">
        <f>$B$4</f>
        <v>2023</v>
      </c>
      <c r="C14" s="25">
        <f>VLOOKUP(INPUT!$A$1,INPUT!$A$5:$AJ$51,27,FALSE)</f>
        <v>57789.847750000001</v>
      </c>
      <c r="D14" s="25">
        <f>VLOOKUP(INPUT!$A$1,INPUT!$A$5:$AJ$51,28,FALSE)</f>
        <v>17593.466218834033</v>
      </c>
      <c r="E14" s="19">
        <f>VLOOKUP(INPUT!$A$1,INPUT!$A$5:$AJ$51,29,FALSE)</f>
        <v>6140.155359999997</v>
      </c>
      <c r="F14" s="25">
        <f>VLOOKUP(INPUT!$A$1,INPUT!$A$5:$AJ$51,30,FALSE)</f>
        <v>43471</v>
      </c>
      <c r="G14" s="18">
        <f>VLOOKUP(INPUT!$A$1,INPUT!$A$5:$AJ$51,31,FALSE)</f>
        <v>20121.560000000001</v>
      </c>
    </row>
    <row r="15" spans="1:7" ht="28" customHeight="1" x14ac:dyDescent="0.3">
      <c r="A15" s="50"/>
      <c r="B15" s="3">
        <f>$B$5</f>
        <v>2022</v>
      </c>
      <c r="C15" s="25">
        <f>VLOOKUP(INPUT!$A$2,INPUT!$A$5:$AJ$51,27,FALSE)</f>
        <v>63165</v>
      </c>
      <c r="D15" s="25">
        <f>VLOOKUP(INPUT!$A$2,INPUT!$A$5:$AJ$51,28,FALSE)</f>
        <v>16160</v>
      </c>
      <c r="E15" s="19">
        <f>VLOOKUP(INPUT!$A$2,INPUT!$A$5:$AJ$51,29,FALSE)</f>
        <v>-3746</v>
      </c>
      <c r="F15" s="25">
        <f>VLOOKUP(INPUT!$A$2,INPUT!$A$5:$AJ$51,30,FALSE)</f>
        <v>63433</v>
      </c>
      <c r="G15" s="18">
        <f>VLOOKUP(INPUT!$A$2,INPUT!$A$5:$AJ$51,31,FALSE)</f>
        <v>33197</v>
      </c>
    </row>
    <row r="16" spans="1:7" ht="28" customHeight="1" x14ac:dyDescent="0.3">
      <c r="A16" s="49" t="s">
        <v>12</v>
      </c>
      <c r="B16" s="3">
        <f>$B$4</f>
        <v>2023</v>
      </c>
      <c r="C16" s="25">
        <f>VLOOKUP(INPUT!$A$1,INPUT!$A$5:$AJ$51,32,FALSE)</f>
        <v>758217</v>
      </c>
      <c r="D16" s="25">
        <f>VLOOKUP(INPUT!$A$1,INPUT!$A$5:$AJ$51,33,FALSE)</f>
        <v>240211</v>
      </c>
      <c r="E16" s="19">
        <f>VLOOKUP(INPUT!$A$1,INPUT!$A$5:$AJ$51,34,FALSE)</f>
        <v>55623</v>
      </c>
      <c r="F16" s="25">
        <f>VLOOKUP(INPUT!$A$1,INPUT!$A$5:$AJ$51,35,FALSE)</f>
        <v>795036</v>
      </c>
      <c r="G16" s="18">
        <f>VLOOKUP(INPUT!$A$1,INPUT!$A$5:$AJ$51,36,FALSE)</f>
        <v>90472</v>
      </c>
    </row>
    <row r="17" spans="1:7" ht="28" customHeight="1" x14ac:dyDescent="0.3">
      <c r="A17" s="50"/>
      <c r="B17" s="3">
        <f>$B$5</f>
        <v>2022</v>
      </c>
      <c r="C17" s="18">
        <f>VLOOKUP(INPUT!$A$2,INPUT!$A$5:$AJ$51,32,FALSE)</f>
        <v>852740</v>
      </c>
      <c r="D17" s="18">
        <f>VLOOKUP(INPUT!$A$2,INPUT!$A$5:$AJ$51,33,FALSE)</f>
        <v>231607</v>
      </c>
      <c r="E17" s="18">
        <f>VLOOKUP(INPUT!$A$2,INPUT!$A$5:$AJ$51,34,FALSE)</f>
        <v>-79074</v>
      </c>
      <c r="F17" s="18">
        <f>VLOOKUP(INPUT!$A$2,INPUT!$A$5:$AJ$51,35,FALSE)</f>
        <v>975017.64049999998</v>
      </c>
      <c r="G17" s="18">
        <f>VLOOKUP(INPUT!$A$2,INPUT!$A$5:$AJ$51,36,FALSE)</f>
        <v>116997.15854999999</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mbM1VbEoEByGPovTAbiK9kynJpB12O/qcCpVydzp3OVqdbLZy6Xk0d+2nZ0sFNpoQWWIpOHkEjRSfQGxLvgbDg==" saltValue="F0B1LCYpoigPAp10S7sxAg=="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2024-02-05T14:43:46Z</dcterms:modified>
</cp:coreProperties>
</file>