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WIP-HC(WaybillData)\WIP\Routine Study Prototypes\RSAM and All Stratification\RSAM\2021\"/>
    </mc:Choice>
  </mc:AlternateContent>
  <xr:revisionPtr revIDLastSave="0" documentId="13_ncr:1_{5C02AEAE-D8A1-4CC3-B7C7-4C2376DE791E}" xr6:coauthVersionLast="47" xr6:coauthVersionMax="47" xr10:uidLastSave="{00000000-0000-0000-0000-000000000000}"/>
  <bookViews>
    <workbookView xWindow="-110" yWindow="-110" windowWidth="19420" windowHeight="9800" tabRatio="720" firstSheet="1" activeTab="5" xr2:uid="{00000000-000D-0000-FFFF-FFFF00000000}"/>
  </bookViews>
  <sheets>
    <sheet name="Inputs From Decisions" sheetId="1" r:id="rId1"/>
    <sheet name="RSAM_Class_I_Costs_and_Rev" sheetId="2" r:id="rId2"/>
    <sheet name="R-1 Schedule 250 Part A" sheetId="3" r:id="rId3"/>
    <sheet name="Tax Rates" sheetId="4" r:id="rId4"/>
    <sheet name="Shortfall (Surplus)" sheetId="5" r:id="rId5"/>
    <sheet name="RSAM" sheetId="6" r:id="rId6"/>
  </sheets>
  <definedNames>
    <definedName name="_xlnm.Print_Area" localSheetId="2">'R-1 Schedule 250 Part A'!$A$1:$J$33</definedName>
    <definedName name="RSAM_2005_Costs_and_Revenues_for_Class_I_RRs">RSAM_Class_I_Costs_and_Rev!$A$4:$J$11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8" i="6" l="1"/>
  <c r="A17" i="6"/>
  <c r="A16" i="6"/>
  <c r="D12" i="6"/>
  <c r="C12" i="6"/>
  <c r="D11" i="6"/>
  <c r="C11" i="6"/>
  <c r="D10" i="6"/>
  <c r="C10" i="6"/>
  <c r="D9" i="6"/>
  <c r="C9" i="6"/>
  <c r="D8" i="6"/>
  <c r="C8" i="6"/>
  <c r="E8" i="6" s="1"/>
  <c r="D7" i="6"/>
  <c r="C7" i="6"/>
  <c r="D6" i="6"/>
  <c r="C6" i="6"/>
  <c r="A1" i="6"/>
  <c r="A20" i="5"/>
  <c r="A19" i="5"/>
  <c r="A18" i="5"/>
  <c r="A17" i="5"/>
  <c r="C13" i="5"/>
  <c r="F12" i="5"/>
  <c r="C12" i="5"/>
  <c r="F11" i="5"/>
  <c r="C11" i="5"/>
  <c r="F10" i="5"/>
  <c r="C10" i="5"/>
  <c r="F9" i="5"/>
  <c r="C9" i="5"/>
  <c r="F8" i="5"/>
  <c r="C8" i="5"/>
  <c r="F7" i="5"/>
  <c r="C7" i="5"/>
  <c r="F6" i="5"/>
  <c r="D6" i="5"/>
  <c r="D7" i="5" s="1"/>
  <c r="E7" i="5" s="1"/>
  <c r="G7" i="5" s="1"/>
  <c r="C6" i="5"/>
  <c r="A1" i="5"/>
  <c r="A16" i="4"/>
  <c r="D12" i="4"/>
  <c r="D11" i="4"/>
  <c r="E11" i="4" s="1"/>
  <c r="H11" i="5" s="1"/>
  <c r="D10" i="4"/>
  <c r="D9" i="4"/>
  <c r="D8" i="4"/>
  <c r="D7" i="4"/>
  <c r="D6" i="4"/>
  <c r="E6" i="4" s="1"/>
  <c r="H6" i="5" s="1"/>
  <c r="C6" i="4"/>
  <c r="C11" i="4" s="1"/>
  <c r="A1" i="4"/>
  <c r="H33" i="3"/>
  <c r="G33" i="3"/>
  <c r="F33" i="3"/>
  <c r="E33" i="3"/>
  <c r="D33" i="3"/>
  <c r="C33" i="3"/>
  <c r="B33" i="3"/>
  <c r="H32" i="3"/>
  <c r="G32" i="3"/>
  <c r="F32" i="3"/>
  <c r="E32" i="3"/>
  <c r="D32" i="3"/>
  <c r="C32" i="3"/>
  <c r="B32" i="3"/>
  <c r="J27" i="3"/>
  <c r="J26" i="3"/>
  <c r="J24" i="3"/>
  <c r="J25" i="3" s="1"/>
  <c r="J23" i="3"/>
  <c r="J21" i="3"/>
  <c r="J20" i="3"/>
  <c r="J18" i="3"/>
  <c r="J17" i="3"/>
  <c r="J19" i="3" s="1"/>
  <c r="J15" i="3"/>
  <c r="J16" i="3" s="1"/>
  <c r="J14" i="3"/>
  <c r="J12" i="3"/>
  <c r="J11" i="3"/>
  <c r="J8" i="3"/>
  <c r="J7" i="3"/>
  <c r="J6" i="3"/>
  <c r="J5" i="3"/>
  <c r="A17" i="2"/>
  <c r="J13" i="2"/>
  <c r="I13" i="2"/>
  <c r="H13" i="2"/>
  <c r="G13" i="2"/>
  <c r="F13" i="2"/>
  <c r="E13" i="2"/>
  <c r="D13" i="2"/>
  <c r="C13" i="2"/>
  <c r="A3" i="1"/>
  <c r="E7" i="6" l="1"/>
  <c r="E10" i="6"/>
  <c r="J22" i="3"/>
  <c r="F13" i="5"/>
  <c r="J9" i="3"/>
  <c r="J30" i="3"/>
  <c r="J29" i="3"/>
  <c r="J28" i="3"/>
  <c r="E7" i="4"/>
  <c r="H7" i="5" s="1"/>
  <c r="I7" i="5" s="1"/>
  <c r="F7" i="6" s="1"/>
  <c r="G7" i="6" s="1"/>
  <c r="E9" i="4"/>
  <c r="H9" i="5" s="1"/>
  <c r="D12" i="5"/>
  <c r="E12" i="5" s="1"/>
  <c r="G12" i="5" s="1"/>
  <c r="E12" i="6"/>
  <c r="C7" i="4"/>
  <c r="D11" i="5"/>
  <c r="E11" i="5" s="1"/>
  <c r="G11" i="5" s="1"/>
  <c r="I11" i="5" s="1"/>
  <c r="F11" i="6" s="1"/>
  <c r="G11" i="6" s="1"/>
  <c r="E9" i="6"/>
  <c r="C12" i="4"/>
  <c r="E12" i="4" s="1"/>
  <c r="H12" i="5" s="1"/>
  <c r="J13" i="3"/>
  <c r="D9" i="5"/>
  <c r="E9" i="5" s="1"/>
  <c r="G9" i="5" s="1"/>
  <c r="E11" i="6"/>
  <c r="E6" i="6"/>
  <c r="C8" i="4"/>
  <c r="E8" i="4" s="1"/>
  <c r="H8" i="5" s="1"/>
  <c r="D8" i="5"/>
  <c r="E8" i="5" s="1"/>
  <c r="G8" i="5" s="1"/>
  <c r="I8" i="5" s="1"/>
  <c r="F8" i="6" s="1"/>
  <c r="G8" i="6" s="1"/>
  <c r="C9" i="4"/>
  <c r="E6" i="5"/>
  <c r="C10" i="4"/>
  <c r="E10" i="4" s="1"/>
  <c r="H10" i="5" s="1"/>
  <c r="D10" i="5"/>
  <c r="E10" i="5" s="1"/>
  <c r="G10" i="5" s="1"/>
  <c r="I12" i="5" l="1"/>
  <c r="F12" i="6" s="1"/>
  <c r="G12" i="6" s="1"/>
  <c r="J31" i="3"/>
  <c r="J33" i="3" s="1"/>
  <c r="I10" i="5"/>
  <c r="F10" i="6" s="1"/>
  <c r="G10" i="6" s="1"/>
  <c r="I9" i="5"/>
  <c r="F9" i="6" s="1"/>
  <c r="G9" i="6" s="1"/>
  <c r="E13" i="5"/>
  <c r="G6" i="5"/>
  <c r="I6" i="5" l="1"/>
  <c r="G13" i="5"/>
  <c r="I13" i="5" l="1"/>
  <c r="F6" i="6"/>
  <c r="G6" i="6" s="1"/>
</calcChain>
</file>

<file path=xl/sharedStrings.xml><?xml version="1.0" encoding="utf-8"?>
<sst xmlns="http://schemas.openxmlformats.org/spreadsheetml/2006/main" count="141" uniqueCount="91">
  <si>
    <t>Industry Cost of Capital--EP 558</t>
  </si>
  <si>
    <t>Federal Tax Rate</t>
  </si>
  <si>
    <t>Average State Tax Rates--EP 682</t>
  </si>
  <si>
    <t>CN/GTC</t>
  </si>
  <si>
    <t>CP/SOO</t>
  </si>
  <si>
    <t>KCS</t>
  </si>
  <si>
    <t>NS</t>
  </si>
  <si>
    <t>CSXT</t>
  </si>
  <si>
    <t>BNSF</t>
  </si>
  <si>
    <t>UP</t>
  </si>
  <si>
    <t>RR_Num</t>
  </si>
  <si>
    <t>RR_Alpha</t>
  </si>
  <si>
    <t>RVC_LT_100_VC</t>
  </si>
  <si>
    <t>RVC_LT_180_VC</t>
  </si>
  <si>
    <t>RVC_GE_180_VC</t>
  </si>
  <si>
    <t>Total_VC</t>
  </si>
  <si>
    <t>RVC_LT_100_Rev</t>
  </si>
  <si>
    <t>RVC_LT_180_Rev</t>
  </si>
  <si>
    <t>RVC_GE_180_Rev</t>
  </si>
  <si>
    <t>Total_Rev</t>
  </si>
  <si>
    <t>Total</t>
  </si>
  <si>
    <t>Source:</t>
  </si>
  <si>
    <t>REVENUE ADEQUACY WORKPAPERS  -  SCHEDULE 250  PART A</t>
  </si>
  <si>
    <t>Page 1</t>
  </si>
  <si>
    <t>Railroad</t>
  </si>
  <si>
    <t>CSX</t>
  </si>
  <si>
    <t>SOO</t>
  </si>
  <si>
    <t>TOTAL</t>
  </si>
  <si>
    <t>Combined/Consolidated NROI</t>
  </si>
  <si>
    <t>+ Interest From Working Cap. Cash</t>
  </si>
  <si>
    <t>+Inc Tax Non-rail</t>
  </si>
  <si>
    <t>+Net gain transfers</t>
  </si>
  <si>
    <t>** Adjusted NROI **</t>
  </si>
  <si>
    <t>Comb Net Inv R&amp;E End</t>
  </si>
  <si>
    <t>Comb Net Inv R&amp;E Start</t>
  </si>
  <si>
    <t>Comb Net Inv R&amp;E Av</t>
  </si>
  <si>
    <t>IDC End</t>
  </si>
  <si>
    <t>IDC Start</t>
  </si>
  <si>
    <t>IDC Av</t>
  </si>
  <si>
    <t>OE Inv End</t>
  </si>
  <si>
    <t>OE Inv Start</t>
  </si>
  <si>
    <t>OE Inv Av</t>
  </si>
  <si>
    <t>Net Rail Rel Ass. End</t>
  </si>
  <si>
    <t>Net Rail Rel Ass. Start</t>
  </si>
  <si>
    <t>Net Rail Rel Ass. Av</t>
  </si>
  <si>
    <t>Work Cap End</t>
  </si>
  <si>
    <t>Work Cap Start</t>
  </si>
  <si>
    <t>Work Cap Av</t>
  </si>
  <si>
    <t>Acc Def Tax End</t>
  </si>
  <si>
    <t>Acc Def Tax Start</t>
  </si>
  <si>
    <t>Acc Def Tax Av</t>
  </si>
  <si>
    <t>Tax Adj Net Inv Base End</t>
  </si>
  <si>
    <t>Tax Adj Net Inv Base Start</t>
  </si>
  <si>
    <t>* Tax Adj Net Inv Base *</t>
  </si>
  <si>
    <t>TAX ADJUSTED RETURN ON INVESTMENT</t>
  </si>
  <si>
    <t xml:space="preserve"> TAX ADJUSTED ROI</t>
  </si>
  <si>
    <t>Calculation of Marginal Tax Rates</t>
  </si>
  <si>
    <t>(A)</t>
  </si>
  <si>
    <t>(B)</t>
  </si>
  <si>
    <t>(C)</t>
  </si>
  <si>
    <t>(D)</t>
  </si>
  <si>
    <t>(E)=(D)+(1-(D))*(C)</t>
  </si>
  <si>
    <t>RR No.</t>
  </si>
  <si>
    <t>Federal
Tax Rate</t>
  </si>
  <si>
    <t>Average State Tax Rate</t>
  </si>
  <si>
    <t>Marginal
Tax Rate</t>
  </si>
  <si>
    <t>Source(s):</t>
  </si>
  <si>
    <t>Calculation of Shortfall (Surplus)</t>
  </si>
  <si>
    <t>(E)=(C)*(D)</t>
  </si>
  <si>
    <t>(F)</t>
  </si>
  <si>
    <t>(G)=(E)-(F)</t>
  </si>
  <si>
    <t>(H)</t>
  </si>
  <si>
    <t>(I)=(G)/(1-(H))</t>
  </si>
  <si>
    <t>Tax Adj
Net Inv Base</t>
  </si>
  <si>
    <t>Industry
Cost of Capital</t>
  </si>
  <si>
    <t>Required
NROI</t>
  </si>
  <si>
    <t>Adjusted
NROI</t>
  </si>
  <si>
    <t>Shortfall
(Surplus)</t>
  </si>
  <si>
    <t>Tax-Adjusted
Shortfall (Surplus)</t>
  </si>
  <si>
    <t>(E)=(C)/(D)</t>
  </si>
  <si>
    <t>(G)=[(C)+(F)]/(D)</t>
  </si>
  <si>
    <t>RVC GE 180</t>
  </si>
  <si>
    <t>Revenue</t>
  </si>
  <si>
    <t>Variable Costs</t>
  </si>
  <si>
    <t>RVC&gt;180</t>
  </si>
  <si>
    <t>Tax-Adj Shortfall (Surplus)</t>
  </si>
  <si>
    <t>RSAM</t>
  </si>
  <si>
    <t>Year for RSAM Study</t>
  </si>
  <si>
    <t>Class I Costs and Revenues by RVC Category</t>
  </si>
  <si>
    <t>2021 RSAM Calculation</t>
  </si>
  <si>
    <t>GTC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</si>
</sst>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3" formatCode="_(* #,##0.00_);_(* \(#,##0.00\);_(* &quot;-&quot;??_);_(@_)"/>
    <numFmt numFmtId="164" formatCode="0.0%"/>
    <numFmt numFmtId="165" formatCode="&quot;$&quot;#,##0"/>
  </numFmts>
  <fonts count="2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MS Sans Serif"/>
      <family val="2"/>
    </font>
    <font>
      <sz val="8.5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MS Sans Serif"/>
      <family val="2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6"/>
      <name val="Arial"/>
      <family val="2"/>
    </font>
    <font>
      <b/>
      <sz val="12"/>
      <name val="Arial"/>
      <family val="2"/>
    </font>
    <font>
      <sz val="8"/>
      <color rgb="FFFF0000"/>
      <name val="Arial"/>
      <family val="2"/>
    </font>
    <font>
      <sz val="10"/>
      <color theme="4"/>
      <name val="MS Sans Serif"/>
      <family val="2"/>
    </font>
    <font>
      <sz val="10"/>
      <color rgb="FFFF0000"/>
      <name val="MS Sans Serif"/>
      <family val="2"/>
    </font>
    <font>
      <u/>
      <sz val="10"/>
      <name val="MS Sans Serif"/>
      <family val="2"/>
    </font>
    <font>
      <sz val="10"/>
      <name val="MS Sans Serif"/>
    </font>
    <font>
      <sz val="10"/>
      <color theme="4"/>
      <name val="MS Sans Serif"/>
    </font>
    <font>
      <sz val="11"/>
      <color indexed="8"/>
      <name val="Calibri"/>
    </font>
    <font>
      <sz val="10"/>
      <color indexed="8"/>
      <name val="Arial"/>
    </font>
    <font>
      <b/>
      <sz val="10"/>
      <name val="MS Sans Serif"/>
    </font>
    <font>
      <b/>
      <sz val="11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lightGray">
        <fgColor indexed="8"/>
      </patternFill>
    </fill>
    <fill>
      <patternFill patternType="solid">
        <fgColor indexed="8"/>
      </patternFill>
    </fill>
    <fill>
      <patternFill patternType="solid">
        <fgColor rgb="FF92D050"/>
        <bgColor indexed="64"/>
      </patternFill>
    </fill>
    <fill>
      <patternFill patternType="lightGray">
        <fgColor indexed="8"/>
        <bgColor theme="0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 tint="-0.499984740745262"/>
        <bgColor indexed="64"/>
      </patternFill>
    </fill>
  </fills>
  <borders count="3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8">
    <xf numFmtId="0" fontId="0" fillId="0" borderId="0"/>
    <xf numFmtId="0" fontId="14" fillId="0" borderId="0"/>
    <xf numFmtId="0" fontId="2" fillId="0" borderId="0"/>
    <xf numFmtId="0" fontId="1" fillId="0" borderId="0"/>
    <xf numFmtId="43" fontId="1" fillId="0" borderId="0"/>
    <xf numFmtId="9" fontId="1" fillId="0" borderId="0"/>
    <xf numFmtId="9" fontId="22" fillId="0" borderId="0"/>
    <xf numFmtId="0" fontId="25" fillId="0" borderId="0"/>
  </cellStyleXfs>
  <cellXfs count="141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4" xfId="0" applyFont="1" applyBorder="1" applyAlignment="1">
      <alignment horizontal="center" wrapText="1"/>
    </xf>
    <xf numFmtId="42" fontId="0" fillId="0" borderId="1" xfId="0" quotePrefix="1" applyNumberFormat="1" applyBorder="1"/>
    <xf numFmtId="0" fontId="9" fillId="0" borderId="0" xfId="0" applyFont="1" applyAlignment="1">
      <alignment horizontal="centerContinuous"/>
    </xf>
    <xf numFmtId="0" fontId="5" fillId="0" borderId="0" xfId="1" applyFont="1"/>
    <xf numFmtId="0" fontId="6" fillId="0" borderId="0" xfId="1" applyFont="1"/>
    <xf numFmtId="0" fontId="6" fillId="0" borderId="11" xfId="1" applyFont="1" applyBorder="1"/>
    <xf numFmtId="10" fontId="5" fillId="0" borderId="0" xfId="1" applyNumberFormat="1" applyFont="1"/>
    <xf numFmtId="0" fontId="10" fillId="0" borderId="0" xfId="0" applyFont="1" applyAlignment="1">
      <alignment vertical="center" wrapText="1"/>
    </xf>
    <xf numFmtId="10" fontId="0" fillId="0" borderId="0" xfId="0" applyNumberForma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4" fillId="0" borderId="8" xfId="0" applyFont="1" applyBorder="1"/>
    <xf numFmtId="37" fontId="14" fillId="0" borderId="7" xfId="0" applyNumberFormat="1" applyFont="1" applyBorder="1"/>
    <xf numFmtId="0" fontId="14" fillId="0" borderId="10" xfId="0" applyFont="1" applyBorder="1"/>
    <xf numFmtId="37" fontId="14" fillId="0" borderId="9" xfId="0" applyNumberFormat="1" applyFont="1" applyBorder="1"/>
    <xf numFmtId="37" fontId="14" fillId="0" borderId="10" xfId="0" applyNumberFormat="1" applyFont="1" applyBorder="1"/>
    <xf numFmtId="0" fontId="14" fillId="0" borderId="12" xfId="0" applyFont="1" applyBorder="1"/>
    <xf numFmtId="37" fontId="14" fillId="0" borderId="12" xfId="0" applyNumberFormat="1" applyFont="1" applyBorder="1"/>
    <xf numFmtId="0" fontId="13" fillId="0" borderId="12" xfId="0" applyFont="1" applyBorder="1"/>
    <xf numFmtId="37" fontId="13" fillId="0" borderId="12" xfId="0" applyNumberFormat="1" applyFont="1" applyBorder="1"/>
    <xf numFmtId="0" fontId="13" fillId="2" borderId="12" xfId="0" applyFont="1" applyFill="1" applyBorder="1"/>
    <xf numFmtId="37" fontId="13" fillId="2" borderId="14" xfId="0" applyNumberFormat="1" applyFont="1" applyFill="1" applyBorder="1"/>
    <xf numFmtId="37" fontId="13" fillId="0" borderId="14" xfId="0" applyNumberFormat="1" applyFont="1" applyBorder="1"/>
    <xf numFmtId="0" fontId="14" fillId="0" borderId="9" xfId="0" applyFont="1" applyBorder="1"/>
    <xf numFmtId="0" fontId="13" fillId="0" borderId="10" xfId="0" applyFont="1" applyBorder="1"/>
    <xf numFmtId="0" fontId="13" fillId="3" borderId="10" xfId="0" applyFont="1" applyFill="1" applyBorder="1"/>
    <xf numFmtId="0" fontId="13" fillId="3" borderId="9" xfId="0" applyFont="1" applyFill="1" applyBorder="1"/>
    <xf numFmtId="0" fontId="18" fillId="0" borderId="0" xfId="1" applyFont="1"/>
    <xf numFmtId="0" fontId="6" fillId="4" borderId="0" xfId="1" applyFont="1" applyFill="1"/>
    <xf numFmtId="0" fontId="19" fillId="0" borderId="0" xfId="0" applyFont="1"/>
    <xf numFmtId="0" fontId="2" fillId="0" borderId="0" xfId="0" applyFont="1" applyAlignment="1">
      <alignment horizontal="centerContinuous"/>
    </xf>
    <xf numFmtId="0" fontId="2" fillId="0" borderId="0" xfId="0" applyFont="1"/>
    <xf numFmtId="0" fontId="2" fillId="0" borderId="5" xfId="0" quotePrefix="1" applyFont="1" applyBorder="1" applyAlignment="1">
      <alignment horizontal="center"/>
    </xf>
    <xf numFmtId="10" fontId="2" fillId="0" borderId="5" xfId="0" applyNumberFormat="1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42" fontId="2" fillId="0" borderId="5" xfId="0" applyNumberFormat="1" applyFont="1" applyBorder="1"/>
    <xf numFmtId="42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Continuous"/>
    </xf>
    <xf numFmtId="42" fontId="2" fillId="0" borderId="6" xfId="0" applyNumberFormat="1" applyFont="1" applyBorder="1"/>
    <xf numFmtId="37" fontId="13" fillId="0" borderId="13" xfId="0" applyNumberFormat="1" applyFont="1" applyBorder="1"/>
    <xf numFmtId="37" fontId="13" fillId="0" borderId="19" xfId="0" applyNumberFormat="1" applyFont="1" applyBorder="1"/>
    <xf numFmtId="37" fontId="13" fillId="0" borderId="10" xfId="0" applyNumberFormat="1" applyFont="1" applyBorder="1"/>
    <xf numFmtId="0" fontId="2" fillId="0" borderId="0" xfId="0" quotePrefix="1" applyFont="1"/>
    <xf numFmtId="165" fontId="0" fillId="0" borderId="1" xfId="0" quotePrefix="1" applyNumberFormat="1" applyBorder="1"/>
    <xf numFmtId="0" fontId="7" fillId="0" borderId="0" xfId="0" applyFont="1"/>
    <xf numFmtId="0" fontId="2" fillId="0" borderId="1" xfId="0" applyFont="1" applyBorder="1"/>
    <xf numFmtId="37" fontId="14" fillId="0" borderId="8" xfId="0" applyNumberFormat="1" applyFont="1" applyBorder="1"/>
    <xf numFmtId="37" fontId="14" fillId="0" borderId="16" xfId="0" applyNumberFormat="1" applyFont="1" applyBorder="1"/>
    <xf numFmtId="37" fontId="14" fillId="0" borderId="20" xfId="0" applyNumberFormat="1" applyFont="1" applyBorder="1"/>
    <xf numFmtId="37" fontId="14" fillId="0" borderId="17" xfId="0" applyNumberFormat="1" applyFont="1" applyBorder="1"/>
    <xf numFmtId="37" fontId="14" fillId="0" borderId="14" xfId="0" applyNumberFormat="1" applyFont="1" applyBorder="1"/>
    <xf numFmtId="37" fontId="13" fillId="5" borderId="12" xfId="0" applyNumberFormat="1" applyFont="1" applyFill="1" applyBorder="1"/>
    <xf numFmtId="37" fontId="13" fillId="5" borderId="14" xfId="0" applyNumberFormat="1" applyFont="1" applyFill="1" applyBorder="1"/>
    <xf numFmtId="37" fontId="6" fillId="0" borderId="9" xfId="0" applyNumberFormat="1" applyFont="1" applyBorder="1"/>
    <xf numFmtId="37" fontId="6" fillId="0" borderId="8" xfId="0" applyNumberFormat="1" applyFont="1" applyBorder="1"/>
    <xf numFmtId="37" fontId="6" fillId="0" borderId="10" xfId="0" applyNumberFormat="1" applyFont="1" applyBorder="1"/>
    <xf numFmtId="37" fontId="14" fillId="0" borderId="0" xfId="0" applyNumberFormat="1" applyFont="1"/>
    <xf numFmtId="37" fontId="14" fillId="0" borderId="21" xfId="0" applyNumberFormat="1" applyFont="1" applyBorder="1"/>
    <xf numFmtId="37" fontId="14" fillId="0" borderId="18" xfId="0" applyNumberFormat="1" applyFont="1" applyBorder="1"/>
    <xf numFmtId="0" fontId="13" fillId="6" borderId="17" xfId="0" applyFont="1" applyFill="1" applyBorder="1"/>
    <xf numFmtId="0" fontId="13" fillId="6" borderId="0" xfId="0" applyFont="1" applyFill="1"/>
    <xf numFmtId="0" fontId="13" fillId="6" borderId="9" xfId="0" applyFont="1" applyFill="1" applyBorder="1"/>
    <xf numFmtId="0" fontId="13" fillId="6" borderId="10" xfId="0" applyFont="1" applyFill="1" applyBorder="1"/>
    <xf numFmtId="0" fontId="20" fillId="0" borderId="0" xfId="0" applyFont="1"/>
    <xf numFmtId="0" fontId="2" fillId="0" borderId="0" xfId="0" quotePrefix="1" applyFont="1" applyAlignment="1">
      <alignment horizontal="center"/>
    </xf>
    <xf numFmtId="0" fontId="3" fillId="0" borderId="22" xfId="0" applyFont="1" applyBorder="1" applyAlignment="1">
      <alignment horizontal="center" wrapText="1"/>
    </xf>
    <xf numFmtId="0" fontId="3" fillId="0" borderId="22" xfId="0" applyFont="1" applyBorder="1" applyAlignment="1">
      <alignment horizontal="center"/>
    </xf>
    <xf numFmtId="0" fontId="3" fillId="0" borderId="22" xfId="0" quotePrefix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2" fillId="0" borderId="26" xfId="0" quotePrefix="1" applyFont="1" applyBorder="1" applyAlignment="1">
      <alignment horizontal="left"/>
    </xf>
    <xf numFmtId="0" fontId="2" fillId="0" borderId="28" xfId="0" quotePrefix="1" applyFont="1" applyBorder="1" applyAlignment="1">
      <alignment horizontal="left"/>
    </xf>
    <xf numFmtId="0" fontId="21" fillId="0" borderId="26" xfId="0" applyFont="1" applyBorder="1" applyAlignment="1">
      <alignment horizontal="left"/>
    </xf>
    <xf numFmtId="37" fontId="8" fillId="0" borderId="15" xfId="0" applyNumberFormat="1" applyFont="1" applyBorder="1"/>
    <xf numFmtId="37" fontId="8" fillId="2" borderId="12" xfId="0" applyNumberFormat="1" applyFont="1" applyFill="1" applyBorder="1"/>
    <xf numFmtId="37" fontId="6" fillId="0" borderId="16" xfId="0" applyNumberFormat="1" applyFont="1" applyBorder="1"/>
    <xf numFmtId="37" fontId="8" fillId="0" borderId="12" xfId="0" applyNumberFormat="1" applyFont="1" applyBorder="1"/>
    <xf numFmtId="37" fontId="8" fillId="0" borderId="14" xfId="0" applyNumberFormat="1" applyFont="1" applyBorder="1"/>
    <xf numFmtId="9" fontId="0" fillId="0" borderId="0" xfId="6" applyFont="1"/>
    <xf numFmtId="164" fontId="0" fillId="0" borderId="0" xfId="6" applyNumberFormat="1" applyFont="1"/>
    <xf numFmtId="9" fontId="2" fillId="0" borderId="5" xfId="0" applyNumberFormat="1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165" fontId="0" fillId="0" borderId="0" xfId="0" applyNumberFormat="1"/>
    <xf numFmtId="42" fontId="0" fillId="0" borderId="0" xfId="0" applyNumberFormat="1"/>
    <xf numFmtId="0" fontId="24" fillId="0" borderId="1" xfId="7" applyFont="1" applyBorder="1" applyAlignment="1">
      <alignment horizontal="right" wrapText="1"/>
    </xf>
    <xf numFmtId="0" fontId="24" fillId="0" borderId="1" xfId="7" applyFont="1" applyBorder="1" applyAlignment="1">
      <alignment wrapText="1"/>
    </xf>
    <xf numFmtId="10" fontId="18" fillId="0" borderId="0" xfId="6" applyNumberFormat="1" applyFont="1"/>
    <xf numFmtId="3" fontId="24" fillId="0" borderId="1" xfId="7" applyNumberFormat="1" applyFont="1" applyBorder="1" applyAlignment="1">
      <alignment horizontal="right" wrapText="1"/>
    </xf>
    <xf numFmtId="0" fontId="26" fillId="0" borderId="0" xfId="0" applyFont="1"/>
    <xf numFmtId="42" fontId="27" fillId="0" borderId="31" xfId="0" quotePrefix="1" applyNumberFormat="1" applyFont="1" applyBorder="1"/>
    <xf numFmtId="0" fontId="28" fillId="8" borderId="15" xfId="7" applyFont="1" applyFill="1" applyBorder="1" applyAlignment="1">
      <alignment horizontal="center"/>
    </xf>
    <xf numFmtId="0" fontId="24" fillId="0" borderId="32" xfId="7" applyFont="1" applyBorder="1" applyAlignment="1">
      <alignment horizontal="right" wrapText="1"/>
    </xf>
    <xf numFmtId="0" fontId="24" fillId="0" borderId="32" xfId="7" applyFont="1" applyBorder="1" applyAlignment="1">
      <alignment wrapText="1"/>
    </xf>
    <xf numFmtId="3" fontId="24" fillId="0" borderId="32" xfId="7" applyNumberFormat="1" applyFont="1" applyBorder="1" applyAlignment="1">
      <alignment horizontal="right" wrapText="1"/>
    </xf>
    <xf numFmtId="0" fontId="24" fillId="0" borderId="0" xfId="7" applyFont="1" applyAlignment="1">
      <alignment horizontal="right" wrapText="1"/>
    </xf>
    <xf numFmtId="0" fontId="24" fillId="0" borderId="0" xfId="7" applyFont="1" applyAlignment="1">
      <alignment wrapText="1"/>
    </xf>
    <xf numFmtId="3" fontId="24" fillId="0" borderId="0" xfId="7" applyNumberFormat="1" applyFont="1" applyAlignment="1">
      <alignment horizontal="right" wrapText="1"/>
    </xf>
    <xf numFmtId="10" fontId="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0" fontId="23" fillId="0" borderId="0" xfId="0" applyFont="1"/>
    <xf numFmtId="0" fontId="2" fillId="0" borderId="0" xfId="0" quotePrefix="1" applyFont="1" applyAlignment="1">
      <alignment horizontal="left"/>
    </xf>
    <xf numFmtId="0" fontId="0" fillId="0" borderId="0" xfId="0"/>
    <xf numFmtId="0" fontId="3" fillId="7" borderId="30" xfId="0" applyFont="1" applyFill="1" applyBorder="1"/>
    <xf numFmtId="0" fontId="15" fillId="9" borderId="8" xfId="0" applyFont="1" applyFill="1" applyBorder="1" applyAlignment="1">
      <alignment horizontal="center"/>
    </xf>
    <xf numFmtId="0" fontId="15" fillId="9" borderId="7" xfId="0" applyFont="1" applyFill="1" applyBorder="1" applyAlignment="1">
      <alignment horizontal="center"/>
    </xf>
    <xf numFmtId="0" fontId="24" fillId="0" borderId="1" xfId="7" applyFont="1" applyFill="1" applyBorder="1" applyAlignment="1">
      <alignment wrapText="1"/>
    </xf>
    <xf numFmtId="0" fontId="0" fillId="0" borderId="0" xfId="0"/>
    <xf numFmtId="0" fontId="3" fillId="7" borderId="30" xfId="0" applyFont="1" applyFill="1" applyBorder="1" applyAlignment="1">
      <alignment horizontal="center"/>
    </xf>
    <xf numFmtId="0" fontId="0" fillId="0" borderId="23" xfId="0" applyBorder="1"/>
    <xf numFmtId="0" fontId="3" fillId="0" borderId="0" xfId="0" applyFont="1" applyAlignment="1">
      <alignment horizontal="center"/>
    </xf>
    <xf numFmtId="0" fontId="0" fillId="0" borderId="0" xfId="0"/>
    <xf numFmtId="0" fontId="3" fillId="0" borderId="30" xfId="0" applyFont="1" applyFill="1" applyBorder="1"/>
    <xf numFmtId="10" fontId="2" fillId="0" borderId="27" xfId="0" applyNumberFormat="1" applyFont="1" applyFill="1" applyBorder="1" applyAlignment="1">
      <alignment horizontal="center"/>
    </xf>
    <xf numFmtId="0" fontId="0" fillId="0" borderId="27" xfId="0" applyFill="1" applyBorder="1"/>
    <xf numFmtId="10" fontId="2" fillId="0" borderId="29" xfId="0" applyNumberFormat="1" applyFont="1" applyFill="1" applyBorder="1" applyAlignment="1">
      <alignment horizontal="center"/>
    </xf>
    <xf numFmtId="10" fontId="17" fillId="0" borderId="12" xfId="0" applyNumberFormat="1" applyFont="1" applyFill="1" applyBorder="1"/>
    <xf numFmtId="10" fontId="17" fillId="0" borderId="13" xfId="0" applyNumberFormat="1" applyFont="1" applyFill="1" applyBorder="1"/>
    <xf numFmtId="10" fontId="17" fillId="0" borderId="14" xfId="0" applyNumberFormat="1" applyFont="1" applyFill="1" applyBorder="1"/>
    <xf numFmtId="0" fontId="6" fillId="0" borderId="0" xfId="1" applyFont="1" applyFill="1"/>
    <xf numFmtId="10" fontId="5" fillId="0" borderId="0" xfId="1" applyNumberFormat="1" applyFont="1" applyFill="1"/>
    <xf numFmtId="0" fontId="5" fillId="0" borderId="0" xfId="1" applyFont="1" applyFill="1"/>
  </cellXfs>
  <cellStyles count="8">
    <cellStyle name="Comma 2" xfId="4" xr:uid="{00000000-0005-0000-0000-000004000000}"/>
    <cellStyle name="Normal" xfId="0" builtinId="0"/>
    <cellStyle name="Normal 2" xfId="2" xr:uid="{00000000-0005-0000-0000-000002000000}"/>
    <cellStyle name="Normal 3" xfId="3" xr:uid="{00000000-0005-0000-0000-000003000000}"/>
    <cellStyle name="Normal_rad08tab1" xfId="1" xr:uid="{00000000-0005-0000-0000-000001000000}"/>
    <cellStyle name="Normal_RSAM_2016_Class_I_Costs_and_Rev" xfId="7" xr:uid="{00000000-0005-0000-0000-000007000000}"/>
    <cellStyle name="Percent" xfId="6" builtinId="5"/>
    <cellStyle name="Percent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zoomScale="70" zoomScaleNormal="70" workbookViewId="0">
      <selection activeCell="D7" sqref="D7"/>
    </sheetView>
  </sheetViews>
  <sheetFormatPr defaultRowHeight="13" x14ac:dyDescent="0.3"/>
  <cols>
    <col min="1" max="1" width="36.26953125" style="121" customWidth="1"/>
    <col min="4" max="4" width="36.26953125" style="121" customWidth="1"/>
    <col min="6" max="6" width="17.36328125" style="121" customWidth="1"/>
    <col min="7" max="7" width="36.26953125" style="121" customWidth="1"/>
  </cols>
  <sheetData>
    <row r="1" spans="1:9" ht="13.5" customHeight="1" thickBot="1" x14ac:dyDescent="0.35">
      <c r="A1" s="122" t="s">
        <v>87</v>
      </c>
      <c r="B1" s="131">
        <v>2021</v>
      </c>
    </row>
    <row r="2" spans="1:9" ht="13.5" customHeight="1" thickBot="1" x14ac:dyDescent="0.35"/>
    <row r="3" spans="1:9" ht="13.5" customHeight="1" thickBot="1" x14ac:dyDescent="0.35">
      <c r="A3" s="127" t="str">
        <f>B1&amp;" Inputs"</f>
        <v>2021 Inputs</v>
      </c>
      <c r="B3" s="128"/>
      <c r="D3" s="129"/>
      <c r="E3" s="130"/>
      <c r="G3" s="129"/>
      <c r="H3" s="130"/>
    </row>
    <row r="4" spans="1:9" x14ac:dyDescent="0.3">
      <c r="A4" s="87"/>
      <c r="B4" s="88"/>
    </row>
    <row r="5" spans="1:9" x14ac:dyDescent="0.3">
      <c r="A5" s="89" t="s">
        <v>0</v>
      </c>
      <c r="B5" s="132">
        <v>0.1037</v>
      </c>
      <c r="C5" s="119"/>
      <c r="E5" s="117"/>
      <c r="H5" s="117"/>
    </row>
    <row r="6" spans="1:9" x14ac:dyDescent="0.3">
      <c r="A6" s="89"/>
      <c r="B6" s="132"/>
      <c r="E6" s="117"/>
    </row>
    <row r="7" spans="1:9" x14ac:dyDescent="0.3">
      <c r="A7" s="89" t="s">
        <v>1</v>
      </c>
      <c r="B7" s="132">
        <v>0.21</v>
      </c>
      <c r="C7" s="119"/>
      <c r="E7" s="117"/>
      <c r="H7" s="117"/>
      <c r="I7" s="119"/>
    </row>
    <row r="8" spans="1:9" x14ac:dyDescent="0.3">
      <c r="A8" s="89"/>
      <c r="B8" s="133"/>
    </row>
    <row r="9" spans="1:9" x14ac:dyDescent="0.3">
      <c r="A9" s="92" t="s">
        <v>2</v>
      </c>
      <c r="B9" s="133"/>
      <c r="D9" s="118"/>
      <c r="F9" s="119"/>
      <c r="G9" s="118"/>
    </row>
    <row r="10" spans="1:9" x14ac:dyDescent="0.3">
      <c r="A10" s="90" t="s">
        <v>3</v>
      </c>
      <c r="B10" s="132">
        <v>7.9037135755913618E-2</v>
      </c>
      <c r="D10" s="120"/>
      <c r="E10" s="117"/>
      <c r="G10" s="120"/>
      <c r="H10" s="117"/>
    </row>
    <row r="11" spans="1:9" x14ac:dyDescent="0.3">
      <c r="A11" s="90" t="s">
        <v>4</v>
      </c>
      <c r="B11" s="132">
        <v>7.8271685002895192E-2</v>
      </c>
      <c r="D11" s="120"/>
      <c r="E11" s="117"/>
      <c r="G11" s="120"/>
      <c r="H11" s="117"/>
    </row>
    <row r="12" spans="1:9" x14ac:dyDescent="0.3">
      <c r="A12" s="90" t="s">
        <v>5</v>
      </c>
      <c r="B12" s="132">
        <v>5.1641394325121402E-2</v>
      </c>
      <c r="D12" s="120"/>
      <c r="E12" s="117"/>
      <c r="G12" s="120"/>
      <c r="H12" s="117"/>
    </row>
    <row r="13" spans="1:9" x14ac:dyDescent="0.3">
      <c r="A13" s="90" t="s">
        <v>6</v>
      </c>
      <c r="B13" s="132">
        <v>5.6713947066193135E-2</v>
      </c>
      <c r="D13" s="120"/>
      <c r="E13" s="117"/>
      <c r="G13" s="120"/>
      <c r="H13" s="117"/>
    </row>
    <row r="14" spans="1:9" x14ac:dyDescent="0.3">
      <c r="A14" s="90" t="s">
        <v>7</v>
      </c>
      <c r="B14" s="132">
        <v>5.009827271504301E-2</v>
      </c>
      <c r="D14" s="120"/>
      <c r="E14" s="117"/>
      <c r="G14" s="120"/>
      <c r="H14" s="117"/>
    </row>
    <row r="15" spans="1:9" x14ac:dyDescent="0.3">
      <c r="A15" s="90" t="s">
        <v>8</v>
      </c>
      <c r="B15" s="132">
        <v>5.0675419536351997E-2</v>
      </c>
      <c r="D15" s="120"/>
      <c r="E15" s="117"/>
      <c r="G15" s="120"/>
      <c r="H15" s="117"/>
    </row>
    <row r="16" spans="1:9" ht="13.5" customHeight="1" thickBot="1" x14ac:dyDescent="0.35">
      <c r="A16" s="91" t="s">
        <v>9</v>
      </c>
      <c r="B16" s="134">
        <v>5.4510636723129856E-2</v>
      </c>
      <c r="D16" s="120"/>
      <c r="E16" s="117"/>
      <c r="G16" s="120"/>
      <c r="H16" s="117"/>
    </row>
  </sheetData>
  <sheetProtection algorithmName="SHA-512" hashValue="Y3IkE6vH/btHzOy+1Vc5KyQDDkxafy0PWJoK1OfVnUcz6jZMPK/1vTqNI0nA/GCs8UKvyt1WSz2Krdz+xRCPTg==" saltValue="iLYEz1+ifGsEQbAe4fH2TQ==" spinCount="100000" sheet="1" objects="1" scenarios="1"/>
  <mergeCells count="3">
    <mergeCell ref="A3:B3"/>
    <mergeCell ref="D3:E3"/>
    <mergeCell ref="G3:H3"/>
  </mergeCells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0"/>
  <sheetViews>
    <sheetView zoomScale="55" zoomScaleNormal="55" workbookViewId="0">
      <pane xSplit="2" ySplit="4" topLeftCell="C5" activePane="bottomRight" state="frozen"/>
      <selection activeCell="D10" sqref="D10"/>
      <selection pane="topRight" activeCell="D10" sqref="D10"/>
      <selection pane="bottomLeft" activeCell="D10" sqref="D10"/>
      <selection pane="bottomRight" activeCell="E20" sqref="E20"/>
    </sheetView>
  </sheetViews>
  <sheetFormatPr defaultRowHeight="13" x14ac:dyDescent="0.3"/>
  <cols>
    <col min="1" max="1" width="8.81640625" style="121" bestFit="1" customWidth="1"/>
    <col min="2" max="2" width="10.1796875" style="121" bestFit="1" customWidth="1"/>
    <col min="3" max="10" width="20.7265625" style="121" customWidth="1"/>
  </cols>
  <sheetData>
    <row r="1" spans="1:10" s="126" customFormat="1" ht="15.5" x14ac:dyDescent="0.35">
      <c r="A1" s="9" t="s">
        <v>89</v>
      </c>
      <c r="B1" s="2"/>
      <c r="C1" s="2"/>
      <c r="D1" s="2"/>
      <c r="E1" s="2"/>
      <c r="F1" s="2"/>
      <c r="G1" s="2"/>
      <c r="H1" s="2"/>
      <c r="I1" s="2"/>
      <c r="J1" s="2"/>
    </row>
    <row r="2" spans="1:10" s="126" customFormat="1" x14ac:dyDescent="0.3">
      <c r="A2" s="1" t="s">
        <v>88</v>
      </c>
      <c r="B2" s="2"/>
      <c r="C2" s="2"/>
      <c r="D2" s="2"/>
      <c r="E2" s="2"/>
      <c r="F2" s="2"/>
      <c r="G2" s="2"/>
      <c r="H2" s="2"/>
      <c r="I2" s="2"/>
      <c r="J2" s="2"/>
    </row>
    <row r="3" spans="1:10" s="126" customFormat="1" x14ac:dyDescent="0.3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ht="14.5" customHeight="1" x14ac:dyDescent="0.35">
      <c r="A4" s="110" t="s">
        <v>10</v>
      </c>
      <c r="B4" s="110" t="s">
        <v>11</v>
      </c>
      <c r="C4" s="110" t="s">
        <v>12</v>
      </c>
      <c r="D4" s="110" t="s">
        <v>13</v>
      </c>
      <c r="E4" s="110" t="s">
        <v>14</v>
      </c>
      <c r="F4" s="110" t="s">
        <v>15</v>
      </c>
      <c r="G4" s="110" t="s">
        <v>16</v>
      </c>
      <c r="H4" s="110" t="s">
        <v>17</v>
      </c>
      <c r="I4" s="110" t="s">
        <v>18</v>
      </c>
      <c r="J4" s="110" t="s">
        <v>19</v>
      </c>
    </row>
    <row r="5" spans="1:10" ht="14.5" customHeight="1" x14ac:dyDescent="0.35">
      <c r="A5" s="104">
        <v>103</v>
      </c>
      <c r="B5" s="125" t="s">
        <v>3</v>
      </c>
      <c r="C5" s="107">
        <v>427388531</v>
      </c>
      <c r="D5" s="107">
        <v>827560636</v>
      </c>
      <c r="E5" s="107">
        <v>655977328</v>
      </c>
      <c r="F5" s="107">
        <v>1910926495</v>
      </c>
      <c r="G5" s="107">
        <v>290555266</v>
      </c>
      <c r="H5" s="107">
        <v>1097578577</v>
      </c>
      <c r="I5" s="107">
        <v>1792627102</v>
      </c>
      <c r="J5" s="107">
        <v>3180760945</v>
      </c>
    </row>
    <row r="6" spans="1:10" ht="14.5" customHeight="1" x14ac:dyDescent="0.35">
      <c r="A6" s="104">
        <v>105</v>
      </c>
      <c r="B6" s="125" t="s">
        <v>4</v>
      </c>
      <c r="C6" s="107">
        <v>120174438</v>
      </c>
      <c r="D6" s="107">
        <v>374708436</v>
      </c>
      <c r="E6" s="107">
        <v>359008621</v>
      </c>
      <c r="F6" s="107">
        <v>853891495</v>
      </c>
      <c r="G6" s="107">
        <v>98760887</v>
      </c>
      <c r="H6" s="107">
        <v>556082642</v>
      </c>
      <c r="I6" s="107">
        <v>922668031</v>
      </c>
      <c r="J6" s="107">
        <v>1577511560</v>
      </c>
    </row>
    <row r="7" spans="1:10" ht="14.5" customHeight="1" x14ac:dyDescent="0.35">
      <c r="A7" s="104">
        <v>400</v>
      </c>
      <c r="B7" s="105" t="s">
        <v>5</v>
      </c>
      <c r="C7" s="107">
        <v>432442626</v>
      </c>
      <c r="D7" s="107">
        <v>424153330</v>
      </c>
      <c r="E7" s="107">
        <v>191339382</v>
      </c>
      <c r="F7" s="107">
        <v>1047935338</v>
      </c>
      <c r="G7" s="107">
        <v>259020940</v>
      </c>
      <c r="H7" s="107">
        <v>564714436</v>
      </c>
      <c r="I7" s="107">
        <v>455365763</v>
      </c>
      <c r="J7" s="107">
        <v>1279101139</v>
      </c>
    </row>
    <row r="8" spans="1:10" ht="14.5" customHeight="1" x14ac:dyDescent="0.35">
      <c r="A8" s="104">
        <v>555</v>
      </c>
      <c r="B8" s="105" t="s">
        <v>6</v>
      </c>
      <c r="C8" s="107">
        <v>1000021945</v>
      </c>
      <c r="D8" s="107">
        <v>3279100686</v>
      </c>
      <c r="E8" s="107">
        <v>2038329185</v>
      </c>
      <c r="F8" s="107">
        <v>6317451816</v>
      </c>
      <c r="G8" s="107">
        <v>746062410</v>
      </c>
      <c r="H8" s="107">
        <v>4490176915</v>
      </c>
      <c r="I8" s="107">
        <v>5161326709</v>
      </c>
      <c r="J8" s="107">
        <v>10397566034</v>
      </c>
    </row>
    <row r="9" spans="1:10" ht="14.5" customHeight="1" x14ac:dyDescent="0.35">
      <c r="A9" s="104">
        <v>712</v>
      </c>
      <c r="B9" s="105" t="s">
        <v>7</v>
      </c>
      <c r="C9" s="107">
        <v>1862299846</v>
      </c>
      <c r="D9" s="107">
        <v>2752179417</v>
      </c>
      <c r="E9" s="107">
        <v>1752654792</v>
      </c>
      <c r="F9" s="107">
        <v>6367134055</v>
      </c>
      <c r="G9" s="107">
        <v>1271846840</v>
      </c>
      <c r="H9" s="107">
        <v>3716917749</v>
      </c>
      <c r="I9" s="107">
        <v>4766795371</v>
      </c>
      <c r="J9" s="107">
        <v>9755559960</v>
      </c>
    </row>
    <row r="10" spans="1:10" ht="14.5" customHeight="1" x14ac:dyDescent="0.35">
      <c r="A10" s="111">
        <v>777</v>
      </c>
      <c r="B10" s="112" t="s">
        <v>8</v>
      </c>
      <c r="C10" s="113">
        <v>2935919848</v>
      </c>
      <c r="D10" s="113">
        <v>8556497919</v>
      </c>
      <c r="E10" s="113">
        <v>3346721750</v>
      </c>
      <c r="F10" s="113">
        <v>14839139517</v>
      </c>
      <c r="G10" s="113">
        <v>2275740957</v>
      </c>
      <c r="H10" s="113">
        <v>11636430257</v>
      </c>
      <c r="I10" s="113">
        <v>7735409345</v>
      </c>
      <c r="J10" s="113">
        <v>21647580559</v>
      </c>
    </row>
    <row r="11" spans="1:10" ht="14.5" customHeight="1" x14ac:dyDescent="0.35">
      <c r="A11" s="114">
        <v>802</v>
      </c>
      <c r="B11" s="115" t="s">
        <v>9</v>
      </c>
      <c r="C11" s="116">
        <v>1072890651</v>
      </c>
      <c r="D11" s="116">
        <v>4526089096</v>
      </c>
      <c r="E11" s="116">
        <v>4958551472</v>
      </c>
      <c r="F11" s="116">
        <v>10557531219</v>
      </c>
      <c r="G11" s="116">
        <v>774126400</v>
      </c>
      <c r="H11" s="116">
        <v>6594435142</v>
      </c>
      <c r="I11" s="116">
        <v>12591383853</v>
      </c>
      <c r="J11" s="116">
        <v>19959945395</v>
      </c>
    </row>
    <row r="12" spans="1:10" ht="14.5" customHeight="1" x14ac:dyDescent="0.35">
      <c r="A12" s="114"/>
      <c r="B12" s="115"/>
      <c r="C12" s="116"/>
      <c r="D12" s="116"/>
      <c r="E12" s="116"/>
      <c r="F12" s="116"/>
      <c r="G12" s="116"/>
      <c r="H12" s="116"/>
      <c r="I12" s="116"/>
      <c r="J12" s="116"/>
    </row>
    <row r="13" spans="1:10" s="108" customFormat="1" ht="14.5" customHeight="1" x14ac:dyDescent="0.35">
      <c r="B13" s="109" t="s">
        <v>20</v>
      </c>
      <c r="C13" s="109">
        <f t="shared" ref="C13:J13" si="0">SUM(C5:C11)</f>
        <v>7851137885</v>
      </c>
      <c r="D13" s="109">
        <f t="shared" si="0"/>
        <v>20740289520</v>
      </c>
      <c r="E13" s="109">
        <f t="shared" si="0"/>
        <v>13302582530</v>
      </c>
      <c r="F13" s="109">
        <f t="shared" si="0"/>
        <v>41894009935</v>
      </c>
      <c r="G13" s="109">
        <f t="shared" si="0"/>
        <v>5716113700</v>
      </c>
      <c r="H13" s="109">
        <f t="shared" si="0"/>
        <v>28656335718</v>
      </c>
      <c r="I13" s="109">
        <f t="shared" si="0"/>
        <v>33425576174</v>
      </c>
      <c r="J13" s="109">
        <f t="shared" si="0"/>
        <v>67798025592</v>
      </c>
    </row>
    <row r="15" spans="1:10" x14ac:dyDescent="0.3">
      <c r="C15" s="61"/>
      <c r="D15" s="8"/>
      <c r="E15" s="8"/>
      <c r="F15" s="8"/>
      <c r="G15" s="8"/>
      <c r="H15" s="8"/>
      <c r="I15" s="8"/>
      <c r="J15" s="8"/>
    </row>
    <row r="16" spans="1:10" x14ac:dyDescent="0.3">
      <c r="A16" t="s">
        <v>21</v>
      </c>
      <c r="C16" s="102"/>
      <c r="D16" s="102"/>
      <c r="E16" s="102"/>
      <c r="F16" s="102"/>
      <c r="G16" s="102"/>
      <c r="H16" s="102"/>
      <c r="I16" s="102"/>
      <c r="J16" s="102"/>
    </row>
    <row r="17" spans="1:10" x14ac:dyDescent="0.3">
      <c r="A17" s="60" t="str">
        <f>"     "&amp;'Inputs From Decisions'!B1&amp;" Carload Waybill Sample."</f>
        <v xml:space="preserve">     2021 Carload Waybill Sample.</v>
      </c>
    </row>
    <row r="18" spans="1:10" x14ac:dyDescent="0.3">
      <c r="D18" s="15"/>
    </row>
    <row r="19" spans="1:10" x14ac:dyDescent="0.3">
      <c r="A19"/>
      <c r="C19" s="99"/>
      <c r="D19" s="99"/>
      <c r="E19" s="99"/>
      <c r="F19" s="99"/>
      <c r="G19" s="99"/>
      <c r="H19" s="99"/>
      <c r="I19" s="99"/>
      <c r="J19" s="99"/>
    </row>
    <row r="20" spans="1:10" x14ac:dyDescent="0.3">
      <c r="C20" s="99"/>
      <c r="D20" s="99"/>
      <c r="E20" s="99"/>
      <c r="F20" s="99"/>
      <c r="G20" s="99"/>
      <c r="H20" s="99"/>
      <c r="I20" s="99"/>
      <c r="J20" s="99"/>
    </row>
  </sheetData>
  <sheetProtection algorithmName="SHA-512" hashValue="+73779PATtKQEje6oc5JsrU+JWb+JhaZXVcmamv9GuHZm37oaQUH6olhxT3+m6NEY/uq7WYaY3KY/1lz8VdZHw==" saltValue="XUe25FR4LrlYuSodOLTr0g==" spinCount="100000" sheet="1" objects="1" scenarios="1"/>
  <printOptions horizontalCentered="1"/>
  <pageMargins left="0.5" right="0.5" top="1" bottom="1" header="0.5" footer="0.5"/>
  <pageSetup scale="70" orientation="landscape"/>
  <headerFooter alignWithMargins="0">
    <oddFooter>&amp;L&amp;F [&amp;A]&amp;RPage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GK42"/>
  <sheetViews>
    <sheetView showGridLines="0" defaultGridColor="0" colorId="22" zoomScale="55" zoomScaleNormal="55" workbookViewId="0">
      <pane xSplit="1" ySplit="4" topLeftCell="B5" activePane="bottomRight" state="frozen"/>
      <selection activeCell="D10" sqref="D10"/>
      <selection pane="topRight" activeCell="D10" sqref="D10"/>
      <selection pane="bottomLeft" activeCell="D10" sqref="D10"/>
      <selection pane="bottomRight" activeCell="C36" sqref="C36"/>
    </sheetView>
  </sheetViews>
  <sheetFormatPr defaultColWidth="9.1796875" defaultRowHeight="10" x14ac:dyDescent="0.2"/>
  <cols>
    <col min="1" max="1" width="63.7265625" style="11" customWidth="1"/>
    <col min="2" max="2" width="12.1796875" style="11" bestFit="1" customWidth="1"/>
    <col min="3" max="3" width="12.7265625" style="11" bestFit="1" customWidth="1"/>
    <col min="4" max="4" width="13.26953125" style="11" bestFit="1" customWidth="1"/>
    <col min="5" max="5" width="10.81640625" style="11" bestFit="1" customWidth="1"/>
    <col min="6" max="6" width="12" style="11" bestFit="1" customWidth="1"/>
    <col min="7" max="7" width="11.453125" style="11" bestFit="1" customWidth="1"/>
    <col min="8" max="8" width="12.26953125" style="11" bestFit="1" customWidth="1"/>
    <col min="9" max="9" width="9.1796875" style="11" customWidth="1"/>
    <col min="10" max="10" width="13.26953125" style="11" bestFit="1" customWidth="1"/>
    <col min="11" max="14" width="9.1796875" style="11" customWidth="1"/>
    <col min="15" max="16384" width="9.1796875" style="11"/>
  </cols>
  <sheetData>
    <row r="1" spans="1:193" ht="24" customHeight="1" x14ac:dyDescent="0.3">
      <c r="A1" s="62" t="s">
        <v>22</v>
      </c>
      <c r="B1" s="17"/>
      <c r="C1" s="17"/>
      <c r="D1" s="16"/>
      <c r="E1" s="16"/>
      <c r="F1" s="16"/>
      <c r="G1" s="17"/>
      <c r="H1" s="16"/>
      <c r="I1" s="16"/>
      <c r="J1" s="16" t="s">
        <v>23</v>
      </c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</row>
    <row r="2" spans="1:193" ht="8.65" customHeight="1" x14ac:dyDescent="0.25">
      <c r="A2" s="18"/>
      <c r="B2" s="19"/>
      <c r="C2" s="19"/>
      <c r="D2" s="19"/>
      <c r="E2" s="19"/>
      <c r="F2" s="19"/>
      <c r="G2" s="19"/>
      <c r="H2" s="18"/>
      <c r="I2" s="18"/>
      <c r="J2" s="19"/>
    </row>
    <row r="3" spans="1:193" ht="11.15" customHeight="1" x14ac:dyDescent="0.25">
      <c r="A3" s="20" t="s">
        <v>24</v>
      </c>
      <c r="B3" s="123" t="s">
        <v>8</v>
      </c>
      <c r="C3" s="124" t="s">
        <v>25</v>
      </c>
      <c r="D3" s="124" t="s">
        <v>90</v>
      </c>
      <c r="E3" s="124" t="s">
        <v>5</v>
      </c>
      <c r="F3" s="124" t="s">
        <v>6</v>
      </c>
      <c r="G3" s="124" t="s">
        <v>26</v>
      </c>
      <c r="H3" s="124" t="s">
        <v>9</v>
      </c>
      <c r="I3" s="20"/>
      <c r="J3" s="21" t="s">
        <v>27</v>
      </c>
    </row>
    <row r="4" spans="1:193" ht="11.15" customHeight="1" x14ac:dyDescent="0.25">
      <c r="A4" s="22"/>
      <c r="B4" s="23"/>
      <c r="C4" s="22"/>
      <c r="D4" s="24"/>
      <c r="E4" s="22"/>
      <c r="F4" s="22"/>
      <c r="G4" s="22"/>
      <c r="H4" s="25"/>
      <c r="I4" s="22"/>
      <c r="J4" s="23"/>
    </row>
    <row r="5" spans="1:193" ht="11.15" customHeight="1" x14ac:dyDescent="0.2">
      <c r="A5" s="26" t="s">
        <v>28</v>
      </c>
      <c r="B5" s="72">
        <v>6429663</v>
      </c>
      <c r="C5" s="64">
        <v>3217139</v>
      </c>
      <c r="D5" s="64">
        <v>923549</v>
      </c>
      <c r="E5" s="27">
        <v>388582</v>
      </c>
      <c r="F5" s="64">
        <v>3085882</v>
      </c>
      <c r="G5" s="27">
        <v>476048</v>
      </c>
      <c r="H5" s="27">
        <v>6889149</v>
      </c>
      <c r="I5" s="27"/>
      <c r="J5" s="72">
        <f>SUM(B5:I5)</f>
        <v>21410012</v>
      </c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</row>
    <row r="6" spans="1:193" ht="11.15" customHeight="1" x14ac:dyDescent="0.2">
      <c r="A6" s="28" t="s">
        <v>29</v>
      </c>
      <c r="B6" s="73">
        <v>0</v>
      </c>
      <c r="C6" s="30">
        <v>65</v>
      </c>
      <c r="D6" s="30">
        <v>519</v>
      </c>
      <c r="E6" s="29">
        <v>0</v>
      </c>
      <c r="F6" s="30">
        <v>700</v>
      </c>
      <c r="G6" s="29">
        <v>4</v>
      </c>
      <c r="H6" s="29">
        <v>0</v>
      </c>
      <c r="I6" s="29"/>
      <c r="J6" s="73">
        <f>SUM(B6:I6)</f>
        <v>1288</v>
      </c>
    </row>
    <row r="7" spans="1:193" ht="11.15" customHeight="1" x14ac:dyDescent="0.2">
      <c r="A7" s="28" t="s">
        <v>30</v>
      </c>
      <c r="B7" s="29">
        <v>121895</v>
      </c>
      <c r="C7" s="29">
        <v>133096</v>
      </c>
      <c r="D7" s="29">
        <v>7214</v>
      </c>
      <c r="E7" s="29">
        <v>126</v>
      </c>
      <c r="F7" s="29">
        <v>40838</v>
      </c>
      <c r="G7" s="29">
        <v>10727</v>
      </c>
      <c r="H7" s="29">
        <v>71721</v>
      </c>
      <c r="I7" s="29"/>
      <c r="J7" s="73">
        <f>SUM(B7:I7)</f>
        <v>385617</v>
      </c>
    </row>
    <row r="8" spans="1:193" ht="11.15" customHeight="1" x14ac:dyDescent="0.2">
      <c r="A8" s="31" t="s">
        <v>31</v>
      </c>
      <c r="B8" s="32">
        <v>73872</v>
      </c>
      <c r="C8" s="32">
        <v>343537</v>
      </c>
      <c r="D8" s="32">
        <v>805</v>
      </c>
      <c r="E8" s="68">
        <v>18</v>
      </c>
      <c r="F8" s="32">
        <v>55660</v>
      </c>
      <c r="G8" s="68">
        <v>32308</v>
      </c>
      <c r="H8" s="68">
        <v>66771</v>
      </c>
      <c r="I8" s="32"/>
      <c r="J8" s="73">
        <f>SUM(B8:I8)</f>
        <v>572971</v>
      </c>
    </row>
    <row r="9" spans="1:193" ht="11.15" customHeight="1" x14ac:dyDescent="0.25">
      <c r="A9" s="33" t="s">
        <v>32</v>
      </c>
      <c r="B9" s="34">
        <v>6625430</v>
      </c>
      <c r="C9" s="57">
        <v>3693837</v>
      </c>
      <c r="D9" s="58">
        <v>932087</v>
      </c>
      <c r="E9" s="37">
        <v>388726</v>
      </c>
      <c r="F9" s="34">
        <v>3183080</v>
      </c>
      <c r="G9" s="97">
        <v>519087</v>
      </c>
      <c r="H9" s="37">
        <v>7027641</v>
      </c>
      <c r="I9" s="34"/>
      <c r="J9" s="93">
        <f>J8+J7+J6+J5</f>
        <v>22369888</v>
      </c>
    </row>
    <row r="10" spans="1:193" ht="14.25" customHeight="1" x14ac:dyDescent="0.25">
      <c r="A10" s="35"/>
      <c r="B10" s="69"/>
      <c r="C10" s="69"/>
      <c r="D10" s="69"/>
      <c r="E10" s="69"/>
      <c r="F10" s="69"/>
      <c r="G10" s="70"/>
      <c r="H10" s="70"/>
      <c r="I10" s="36"/>
      <c r="J10" s="94"/>
    </row>
    <row r="11" spans="1:193" ht="11.15" customHeight="1" x14ac:dyDescent="0.2">
      <c r="A11" s="28" t="s">
        <v>33</v>
      </c>
      <c r="B11" s="30">
        <v>64582755</v>
      </c>
      <c r="C11" s="30">
        <v>30451714</v>
      </c>
      <c r="D11" s="30">
        <v>14809152</v>
      </c>
      <c r="E11" s="29">
        <v>5699724</v>
      </c>
      <c r="F11" s="30">
        <v>30436002</v>
      </c>
      <c r="G11" s="29">
        <v>4807139</v>
      </c>
      <c r="H11" s="29">
        <v>52629394</v>
      </c>
      <c r="I11" s="30"/>
      <c r="J11" s="72">
        <f>SUM(B11:I11)</f>
        <v>203415880</v>
      </c>
    </row>
    <row r="12" spans="1:193" ht="11.15" customHeight="1" x14ac:dyDescent="0.2">
      <c r="A12" s="28" t="s">
        <v>34</v>
      </c>
      <c r="B12" s="65">
        <v>64090523</v>
      </c>
      <c r="C12" s="65">
        <v>30184332</v>
      </c>
      <c r="D12" s="65">
        <v>14597372</v>
      </c>
      <c r="E12" s="65">
        <v>5552142</v>
      </c>
      <c r="F12" s="65">
        <v>30163002</v>
      </c>
      <c r="G12" s="66">
        <v>4696978</v>
      </c>
      <c r="H12" s="65">
        <v>51978023</v>
      </c>
      <c r="I12" s="30"/>
      <c r="J12" s="95">
        <f>SUM(B12:I12)</f>
        <v>201262372</v>
      </c>
    </row>
    <row r="13" spans="1:193" ht="11.15" customHeight="1" x14ac:dyDescent="0.25">
      <c r="A13" s="33" t="s">
        <v>35</v>
      </c>
      <c r="B13" s="34">
        <v>64336639</v>
      </c>
      <c r="C13" s="34">
        <v>30318023</v>
      </c>
      <c r="D13" s="34">
        <v>14703262</v>
      </c>
      <c r="E13" s="34">
        <v>5625933</v>
      </c>
      <c r="F13" s="34">
        <v>30299502</v>
      </c>
      <c r="G13" s="37">
        <v>4752058.5</v>
      </c>
      <c r="H13" s="37">
        <v>52303708.5</v>
      </c>
      <c r="I13" s="37"/>
      <c r="J13" s="96">
        <f>(J11+J12)/2</f>
        <v>202339126</v>
      </c>
    </row>
    <row r="14" spans="1:193" ht="11.15" customHeight="1" x14ac:dyDescent="0.2">
      <c r="A14" s="28" t="s">
        <v>36</v>
      </c>
      <c r="B14" s="30">
        <v>0</v>
      </c>
      <c r="C14" s="74">
        <v>0</v>
      </c>
      <c r="D14" s="30">
        <v>0</v>
      </c>
      <c r="E14" s="29">
        <v>4320</v>
      </c>
      <c r="F14" s="30">
        <v>2580</v>
      </c>
      <c r="G14" s="29">
        <v>431</v>
      </c>
      <c r="H14" s="71">
        <v>43247</v>
      </c>
      <c r="I14" s="30"/>
      <c r="J14" s="72">
        <f>SUM(B14:I14)</f>
        <v>50578</v>
      </c>
    </row>
    <row r="15" spans="1:193" ht="11.15" customHeight="1" x14ac:dyDescent="0.2">
      <c r="A15" s="28" t="s">
        <v>37</v>
      </c>
      <c r="B15" s="65">
        <v>0</v>
      </c>
      <c r="C15" s="75">
        <v>0</v>
      </c>
      <c r="D15" s="65">
        <v>0</v>
      </c>
      <c r="E15" s="66">
        <v>4320</v>
      </c>
      <c r="F15" s="66">
        <v>2580</v>
      </c>
      <c r="G15" s="66">
        <v>756</v>
      </c>
      <c r="H15" s="65">
        <v>43249</v>
      </c>
      <c r="I15" s="30"/>
      <c r="J15" s="95">
        <f>SUM(B15:I15)</f>
        <v>50905</v>
      </c>
    </row>
    <row r="16" spans="1:193" ht="11.15" customHeight="1" x14ac:dyDescent="0.25">
      <c r="A16" s="33" t="s">
        <v>38</v>
      </c>
      <c r="B16" s="34">
        <v>0</v>
      </c>
      <c r="C16" s="58">
        <v>0</v>
      </c>
      <c r="D16" s="34">
        <v>0</v>
      </c>
      <c r="E16" s="37">
        <v>4320</v>
      </c>
      <c r="F16" s="37">
        <v>2580</v>
      </c>
      <c r="G16" s="37">
        <v>593.5</v>
      </c>
      <c r="H16" s="37">
        <v>43248</v>
      </c>
      <c r="I16" s="37"/>
      <c r="J16" s="96">
        <f>(J14+J15)/2</f>
        <v>50741.5</v>
      </c>
    </row>
    <row r="17" spans="1:12" ht="11.15" customHeight="1" x14ac:dyDescent="0.2">
      <c r="A17" s="38" t="s">
        <v>39</v>
      </c>
      <c r="B17" s="74">
        <v>0</v>
      </c>
      <c r="C17" s="74">
        <v>0</v>
      </c>
      <c r="D17" s="30">
        <v>0</v>
      </c>
      <c r="E17" s="29">
        <v>0</v>
      </c>
      <c r="F17" s="30">
        <v>0</v>
      </c>
      <c r="G17" s="29">
        <v>0</v>
      </c>
      <c r="H17" s="29">
        <v>0</v>
      </c>
      <c r="I17" s="30"/>
      <c r="J17" s="72">
        <f>SUM(B17:I17)</f>
        <v>0</v>
      </c>
    </row>
    <row r="18" spans="1:12" ht="11.15" customHeight="1" x14ac:dyDescent="0.2">
      <c r="A18" s="28" t="s">
        <v>40</v>
      </c>
      <c r="B18" s="75">
        <v>0</v>
      </c>
      <c r="C18" s="75">
        <v>0</v>
      </c>
      <c r="D18" s="65">
        <v>0</v>
      </c>
      <c r="E18" s="66">
        <v>0</v>
      </c>
      <c r="F18" s="66">
        <v>0</v>
      </c>
      <c r="G18" s="66">
        <v>0</v>
      </c>
      <c r="H18" s="65">
        <v>0</v>
      </c>
      <c r="I18" s="30"/>
      <c r="J18" s="95">
        <f>SUM(B18:I18)</f>
        <v>0</v>
      </c>
    </row>
    <row r="19" spans="1:12" ht="11.15" customHeight="1" x14ac:dyDescent="0.25">
      <c r="A19" s="33" t="s">
        <v>41</v>
      </c>
      <c r="B19" s="58">
        <v>0</v>
      </c>
      <c r="C19" s="58">
        <v>0</v>
      </c>
      <c r="D19" s="34">
        <v>0</v>
      </c>
      <c r="E19" s="37">
        <v>0</v>
      </c>
      <c r="F19" s="34">
        <v>0</v>
      </c>
      <c r="G19" s="37">
        <v>0</v>
      </c>
      <c r="H19" s="37">
        <v>0</v>
      </c>
      <c r="I19" s="37"/>
      <c r="J19" s="96">
        <f>(J17+J18)/2</f>
        <v>0</v>
      </c>
    </row>
    <row r="20" spans="1:12" ht="11.15" customHeight="1" x14ac:dyDescent="0.2">
      <c r="A20" s="28" t="s">
        <v>42</v>
      </c>
      <c r="B20" s="30">
        <v>0</v>
      </c>
      <c r="C20" s="74">
        <v>0</v>
      </c>
      <c r="D20" s="30">
        <v>208976</v>
      </c>
      <c r="E20" s="29">
        <v>6294</v>
      </c>
      <c r="F20" s="30">
        <v>0</v>
      </c>
      <c r="G20" s="29">
        <v>0</v>
      </c>
      <c r="H20" s="29">
        <v>0</v>
      </c>
      <c r="I20" s="30"/>
      <c r="J20" s="72">
        <f>SUM(B20:I20)</f>
        <v>215270</v>
      </c>
    </row>
    <row r="21" spans="1:12" ht="11.15" customHeight="1" x14ac:dyDescent="0.2">
      <c r="A21" s="28" t="s">
        <v>43</v>
      </c>
      <c r="B21" s="65">
        <v>0</v>
      </c>
      <c r="C21" s="75">
        <v>0</v>
      </c>
      <c r="D21" s="65">
        <v>232172</v>
      </c>
      <c r="E21" s="66">
        <v>6443</v>
      </c>
      <c r="F21" s="66">
        <v>0</v>
      </c>
      <c r="G21" s="66">
        <v>0</v>
      </c>
      <c r="H21" s="65">
        <v>0</v>
      </c>
      <c r="I21" s="30"/>
      <c r="J21" s="95">
        <f>SUM(B21:I21)</f>
        <v>238615</v>
      </c>
    </row>
    <row r="22" spans="1:12" ht="11.15" customHeight="1" x14ac:dyDescent="0.25">
      <c r="A22" s="33" t="s">
        <v>44</v>
      </c>
      <c r="B22" s="34">
        <v>0</v>
      </c>
      <c r="C22" s="58">
        <v>0</v>
      </c>
      <c r="D22" s="34">
        <v>220574</v>
      </c>
      <c r="E22" s="37">
        <v>6368.5</v>
      </c>
      <c r="F22" s="37">
        <v>0</v>
      </c>
      <c r="G22" s="37">
        <v>0</v>
      </c>
      <c r="H22" s="37">
        <v>0</v>
      </c>
      <c r="I22" s="37"/>
      <c r="J22" s="96">
        <f>(J20+J21)/2</f>
        <v>226942.5</v>
      </c>
    </row>
    <row r="23" spans="1:12" ht="11.15" customHeight="1" x14ac:dyDescent="0.2">
      <c r="A23" s="28" t="s">
        <v>45</v>
      </c>
      <c r="B23" s="30">
        <v>864065</v>
      </c>
      <c r="C23" s="30">
        <v>340510</v>
      </c>
      <c r="D23" s="30">
        <v>171952</v>
      </c>
      <c r="E23" s="29">
        <v>81967</v>
      </c>
      <c r="F23" s="30">
        <v>613147</v>
      </c>
      <c r="G23" s="29">
        <v>67434</v>
      </c>
      <c r="H23" s="29">
        <v>649462</v>
      </c>
      <c r="I23" s="30"/>
      <c r="J23" s="72">
        <f>SUM(B23:H23)</f>
        <v>2788537</v>
      </c>
    </row>
    <row r="24" spans="1:12" ht="11.15" customHeight="1" x14ac:dyDescent="0.2">
      <c r="A24" s="28" t="s">
        <v>46</v>
      </c>
      <c r="B24" s="65">
        <v>802795</v>
      </c>
      <c r="C24" s="65">
        <v>300857</v>
      </c>
      <c r="D24" s="65">
        <v>173978</v>
      </c>
      <c r="E24" s="66">
        <v>77497</v>
      </c>
      <c r="F24" s="66">
        <v>619484</v>
      </c>
      <c r="G24" s="66">
        <v>65905</v>
      </c>
      <c r="H24" s="65">
        <v>770882</v>
      </c>
      <c r="I24" s="30"/>
      <c r="J24" s="95">
        <f>SUM(B24:I24)</f>
        <v>2811398</v>
      </c>
    </row>
    <row r="25" spans="1:12" ht="11.15" customHeight="1" x14ac:dyDescent="0.25">
      <c r="A25" s="33" t="s">
        <v>47</v>
      </c>
      <c r="B25" s="34">
        <v>833430</v>
      </c>
      <c r="C25" s="34">
        <v>320683.5</v>
      </c>
      <c r="D25" s="34">
        <v>172965</v>
      </c>
      <c r="E25" s="37">
        <v>79732</v>
      </c>
      <c r="F25" s="34">
        <v>616315.5</v>
      </c>
      <c r="G25" s="37">
        <v>66669.5</v>
      </c>
      <c r="H25" s="37">
        <v>710172</v>
      </c>
      <c r="I25" s="37"/>
      <c r="J25" s="96">
        <f>(J23+J24)/2</f>
        <v>2799967.5</v>
      </c>
    </row>
    <row r="26" spans="1:12" ht="11.15" customHeight="1" x14ac:dyDescent="0.2">
      <c r="A26" s="29" t="s">
        <v>48</v>
      </c>
      <c r="B26" s="30">
        <v>15190640</v>
      </c>
      <c r="C26" s="30">
        <v>6837073</v>
      </c>
      <c r="D26" s="30">
        <v>3123768</v>
      </c>
      <c r="E26" s="29">
        <v>1007006</v>
      </c>
      <c r="F26" s="30">
        <v>6881750</v>
      </c>
      <c r="G26" s="29">
        <v>994773</v>
      </c>
      <c r="H26" s="29">
        <v>11880969</v>
      </c>
      <c r="I26" s="30"/>
      <c r="J26" s="72">
        <f>SUM(B26:I26)</f>
        <v>45915979</v>
      </c>
    </row>
    <row r="27" spans="1:12" ht="11.15" customHeight="1" x14ac:dyDescent="0.2">
      <c r="A27" s="30" t="s">
        <v>49</v>
      </c>
      <c r="B27" s="65">
        <v>14674925</v>
      </c>
      <c r="C27" s="65">
        <v>6806443</v>
      </c>
      <c r="D27" s="65">
        <v>3125815</v>
      </c>
      <c r="E27" s="66">
        <v>987331</v>
      </c>
      <c r="F27" s="66">
        <v>6646902</v>
      </c>
      <c r="G27" s="66">
        <v>955528</v>
      </c>
      <c r="H27" s="65">
        <v>11527112</v>
      </c>
      <c r="I27" s="30"/>
      <c r="J27" s="95">
        <f>SUM(B27:I27)</f>
        <v>44724056</v>
      </c>
    </row>
    <row r="28" spans="1:12" ht="11.15" customHeight="1" x14ac:dyDescent="0.25">
      <c r="A28" s="37" t="s">
        <v>50</v>
      </c>
      <c r="B28" s="34">
        <v>14932782.5</v>
      </c>
      <c r="C28" s="34">
        <v>6821758</v>
      </c>
      <c r="D28" s="34">
        <v>3124791.5</v>
      </c>
      <c r="E28" s="37">
        <v>997168.5</v>
      </c>
      <c r="F28" s="34">
        <v>6764326</v>
      </c>
      <c r="G28" s="37">
        <v>975150.5</v>
      </c>
      <c r="H28" s="37">
        <v>11704040.5</v>
      </c>
      <c r="I28" s="37"/>
      <c r="J28" s="96">
        <f>(J26+J27)/2</f>
        <v>45320017.5</v>
      </c>
    </row>
    <row r="29" spans="1:12" ht="11.15" customHeight="1" x14ac:dyDescent="0.2">
      <c r="A29" s="28" t="s">
        <v>51</v>
      </c>
      <c r="B29" s="67">
        <v>50256180</v>
      </c>
      <c r="C29" s="67">
        <v>23955151</v>
      </c>
      <c r="D29" s="67">
        <v>12066312</v>
      </c>
      <c r="E29" s="67">
        <v>4776659</v>
      </c>
      <c r="F29" s="30">
        <v>24164819</v>
      </c>
      <c r="G29" s="29">
        <v>3879369</v>
      </c>
      <c r="H29" s="29">
        <v>41354640</v>
      </c>
      <c r="I29" s="29"/>
      <c r="J29" s="73">
        <f>J11+J23+J20-J17-J14-J26</f>
        <v>160453130</v>
      </c>
    </row>
    <row r="30" spans="1:12" ht="11.15" customHeight="1" x14ac:dyDescent="0.2">
      <c r="A30" s="28" t="s">
        <v>52</v>
      </c>
      <c r="B30" s="76">
        <v>50218393</v>
      </c>
      <c r="C30" s="76">
        <v>23678746</v>
      </c>
      <c r="D30" s="76">
        <v>11877707</v>
      </c>
      <c r="E30" s="67">
        <v>4644431</v>
      </c>
      <c r="F30" s="66">
        <v>24133004</v>
      </c>
      <c r="G30" s="66">
        <v>3806599</v>
      </c>
      <c r="H30" s="65">
        <v>41178544</v>
      </c>
      <c r="I30" s="30"/>
      <c r="J30" s="95">
        <f>J12+J24+J21-J18-J15-J27</f>
        <v>159537424</v>
      </c>
    </row>
    <row r="31" spans="1:12" ht="11.15" customHeight="1" x14ac:dyDescent="0.25">
      <c r="A31" s="39" t="s">
        <v>53</v>
      </c>
      <c r="B31" s="59">
        <v>50237286.5</v>
      </c>
      <c r="C31" s="57">
        <v>23816948.5</v>
      </c>
      <c r="D31" s="57">
        <v>11972009.5</v>
      </c>
      <c r="E31" s="37">
        <v>4710545</v>
      </c>
      <c r="F31" s="37">
        <v>24148911.5</v>
      </c>
      <c r="G31" s="37">
        <v>3842984</v>
      </c>
      <c r="H31" s="37">
        <v>41266592</v>
      </c>
      <c r="I31" s="37"/>
      <c r="J31" s="96">
        <f>J13+J25+J22-J19-J16-J28</f>
        <v>159995277</v>
      </c>
    </row>
    <row r="32" spans="1:12" ht="0.75" customHeight="1" x14ac:dyDescent="0.25">
      <c r="A32" s="40"/>
      <c r="B32" s="77">
        <f t="shared" ref="B32:H32" si="0">B9/B31</f>
        <v>0.13188272021817898</v>
      </c>
      <c r="C32" s="78">
        <f t="shared" si="0"/>
        <v>0.15509279032954201</v>
      </c>
      <c r="D32" s="79">
        <f t="shared" si="0"/>
        <v>7.78555179061627E-2</v>
      </c>
      <c r="E32" s="79">
        <f t="shared" si="0"/>
        <v>8.2522510664901835E-2</v>
      </c>
      <c r="F32" s="80">
        <f t="shared" si="0"/>
        <v>0.13181049588922467</v>
      </c>
      <c r="G32" s="79">
        <f t="shared" si="0"/>
        <v>0.13507394254048416</v>
      </c>
      <c r="H32" s="79">
        <f t="shared" si="0"/>
        <v>0.1702985553059482</v>
      </c>
      <c r="I32" s="41"/>
      <c r="J32" s="40"/>
      <c r="L32" s="11" t="s">
        <v>54</v>
      </c>
    </row>
    <row r="33" spans="1:193" s="138" customFormat="1" ht="13.5" customHeight="1" x14ac:dyDescent="0.35">
      <c r="A33" s="135" t="s">
        <v>55</v>
      </c>
      <c r="B33" s="136">
        <f t="shared" ref="B33:H33" si="1">B9/B31</f>
        <v>0.13188272021817898</v>
      </c>
      <c r="C33" s="136">
        <f t="shared" si="1"/>
        <v>0.15509279032954201</v>
      </c>
      <c r="D33" s="136">
        <f t="shared" si="1"/>
        <v>7.78555179061627E-2</v>
      </c>
      <c r="E33" s="136">
        <f t="shared" si="1"/>
        <v>8.2522510664901835E-2</v>
      </c>
      <c r="F33" s="136">
        <f t="shared" si="1"/>
        <v>0.13181049588922467</v>
      </c>
      <c r="G33" s="136">
        <f t="shared" si="1"/>
        <v>0.13507394254048416</v>
      </c>
      <c r="H33" s="136">
        <f t="shared" si="1"/>
        <v>0.1702985553059482</v>
      </c>
      <c r="I33" s="137"/>
      <c r="J33" s="136">
        <f>J9/J31</f>
        <v>0.13981592719140079</v>
      </c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39"/>
      <c r="BC33" s="139"/>
      <c r="BD33" s="139"/>
      <c r="BE33" s="139"/>
      <c r="BF33" s="139"/>
      <c r="BG33" s="139"/>
      <c r="BH33" s="139"/>
      <c r="BI33" s="139"/>
      <c r="BJ33" s="139"/>
      <c r="BK33" s="139"/>
      <c r="BL33" s="139"/>
      <c r="BM33" s="139"/>
      <c r="BN33" s="139"/>
      <c r="BO33" s="139"/>
      <c r="BP33" s="139"/>
      <c r="BQ33" s="139"/>
      <c r="BR33" s="139"/>
      <c r="BS33" s="139"/>
      <c r="BT33" s="139"/>
      <c r="BU33" s="139"/>
      <c r="BV33" s="139"/>
      <c r="BW33" s="139"/>
      <c r="BX33" s="139"/>
      <c r="BY33" s="139"/>
      <c r="BZ33" s="139"/>
      <c r="CA33" s="139"/>
      <c r="CB33" s="139"/>
      <c r="CC33" s="139"/>
      <c r="CD33" s="139"/>
      <c r="CE33" s="139"/>
      <c r="CF33" s="139"/>
      <c r="CG33" s="139"/>
      <c r="CH33" s="139"/>
      <c r="CI33" s="139"/>
      <c r="CJ33" s="139"/>
      <c r="CK33" s="139"/>
      <c r="CL33" s="139"/>
      <c r="CM33" s="139"/>
      <c r="CN33" s="139"/>
      <c r="CO33" s="139"/>
      <c r="CP33" s="139"/>
      <c r="CQ33" s="139"/>
      <c r="CR33" s="139"/>
      <c r="CS33" s="139"/>
      <c r="CT33" s="139"/>
      <c r="CU33" s="139"/>
      <c r="CV33" s="139"/>
      <c r="CW33" s="139"/>
      <c r="CX33" s="139"/>
      <c r="CY33" s="139"/>
      <c r="CZ33" s="139"/>
      <c r="DA33" s="139"/>
      <c r="DB33" s="139"/>
      <c r="DC33" s="139"/>
      <c r="DD33" s="139"/>
      <c r="DE33" s="139"/>
      <c r="DF33" s="139"/>
      <c r="DG33" s="139"/>
      <c r="DH33" s="139"/>
      <c r="DI33" s="139"/>
      <c r="DJ33" s="139"/>
      <c r="DK33" s="139"/>
      <c r="DL33" s="139"/>
      <c r="DM33" s="139"/>
      <c r="DN33" s="139"/>
      <c r="DO33" s="139"/>
      <c r="DP33" s="139"/>
      <c r="DQ33" s="139"/>
      <c r="DR33" s="139"/>
      <c r="DS33" s="139"/>
      <c r="DT33" s="139"/>
      <c r="DU33" s="139"/>
      <c r="DV33" s="139"/>
      <c r="DW33" s="139"/>
      <c r="DX33" s="139"/>
      <c r="DY33" s="139"/>
      <c r="DZ33" s="139"/>
      <c r="EA33" s="139"/>
      <c r="EB33" s="139"/>
      <c r="EC33" s="139"/>
      <c r="ED33" s="139"/>
      <c r="EE33" s="139"/>
      <c r="EF33" s="139"/>
      <c r="EG33" s="139"/>
      <c r="EH33" s="139"/>
      <c r="EI33" s="139"/>
      <c r="EJ33" s="139"/>
      <c r="EK33" s="139"/>
      <c r="EL33" s="139"/>
      <c r="EM33" s="139"/>
      <c r="EN33" s="139"/>
      <c r="EO33" s="139"/>
      <c r="EP33" s="139"/>
      <c r="EQ33" s="139"/>
      <c r="ER33" s="139"/>
      <c r="ES33" s="139"/>
      <c r="ET33" s="139"/>
      <c r="EU33" s="139"/>
      <c r="EV33" s="139"/>
      <c r="EW33" s="139"/>
      <c r="EX33" s="139"/>
      <c r="EY33" s="139"/>
      <c r="EZ33" s="139"/>
      <c r="FA33" s="139"/>
      <c r="FB33" s="139"/>
      <c r="FC33" s="139"/>
      <c r="FD33" s="139"/>
      <c r="FE33" s="139"/>
      <c r="FF33" s="139"/>
      <c r="FG33" s="139"/>
      <c r="FH33" s="139"/>
      <c r="FI33" s="139"/>
      <c r="FJ33" s="139"/>
      <c r="FK33" s="139"/>
      <c r="FL33" s="139"/>
      <c r="FM33" s="139"/>
      <c r="FN33" s="139"/>
      <c r="FO33" s="139"/>
      <c r="FP33" s="139"/>
      <c r="FQ33" s="139"/>
      <c r="FR33" s="139"/>
      <c r="FS33" s="139"/>
      <c r="FT33" s="139"/>
      <c r="FU33" s="139"/>
      <c r="FV33" s="139"/>
      <c r="FW33" s="139"/>
      <c r="FX33" s="139"/>
      <c r="FY33" s="139"/>
      <c r="FZ33" s="139"/>
      <c r="GA33" s="139"/>
      <c r="GB33" s="139"/>
      <c r="GC33" s="139"/>
      <c r="GD33" s="139"/>
      <c r="GE33" s="139"/>
      <c r="GF33" s="139"/>
      <c r="GG33" s="139"/>
      <c r="GH33" s="140"/>
      <c r="GI33" s="140"/>
      <c r="GJ33" s="140"/>
      <c r="GK33" s="140"/>
    </row>
    <row r="34" spans="1:193" ht="0.75" customHeight="1" x14ac:dyDescent="0.2">
      <c r="D34" s="43"/>
    </row>
    <row r="35" spans="1:193" ht="12" customHeight="1" x14ac:dyDescent="0.2">
      <c r="B35" s="106"/>
      <c r="C35" s="106"/>
      <c r="D35" s="106"/>
      <c r="E35" s="106"/>
      <c r="F35" s="106"/>
      <c r="G35" s="106"/>
      <c r="H35" s="106"/>
      <c r="J35" s="106"/>
    </row>
    <row r="36" spans="1:193" x14ac:dyDescent="0.2">
      <c r="G36" s="42"/>
    </row>
    <row r="38" spans="1:193" ht="15.5" customHeight="1" x14ac:dyDescent="0.2">
      <c r="K38" s="14"/>
      <c r="L38" s="14"/>
    </row>
    <row r="39" spans="1:193" ht="15.5" customHeight="1" x14ac:dyDescent="0.2">
      <c r="K39" s="14"/>
      <c r="L39" s="14"/>
    </row>
    <row r="40" spans="1:193" ht="12.5" customHeight="1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0"/>
      <c r="GI40" s="10"/>
      <c r="GJ40" s="10"/>
      <c r="GK40" s="10"/>
    </row>
    <row r="41" spans="1:193" ht="15.5" customHeight="1" x14ac:dyDescent="0.2">
      <c r="A41" s="14"/>
      <c r="B41" s="14"/>
      <c r="K41" s="14"/>
      <c r="L41" s="14"/>
    </row>
    <row r="42" spans="1:193" ht="12.5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</row>
  </sheetData>
  <sheetProtection algorithmName="SHA-512" hashValue="ZyNA7MCLGxfUOBY8q9Bxib7JRISfdaGS65lv0KJpsZOalERWSXNp676uN0Hkcd+UGMayWu/WJqwrGqiylf04pg==" saltValue="SgYCW1OEXR2Q8IopawRbFQ==" spinCount="100000" sheet="1" objects="1" scenarios="1"/>
  <pageMargins left="0.5" right="0.6" top="1" bottom="1" header="0.5" footer="0.5"/>
  <pageSetup scale="69" orientation="landscape"/>
  <headerFooter alignWithMargins="0">
    <oddFooter>&amp;L&amp;F [&amp;A]&amp;RPage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6"/>
  <sheetViews>
    <sheetView zoomScale="70" zoomScaleNormal="70" workbookViewId="0">
      <pane xSplit="2" ySplit="5" topLeftCell="C6" activePane="bottomRight" state="frozen"/>
      <selection activeCell="D10" sqref="D10"/>
      <selection pane="topRight" activeCell="D10" sqref="D10"/>
      <selection pane="bottomLeft" activeCell="D10" sqref="D10"/>
      <selection pane="bottomRight" activeCell="D8" sqref="D8"/>
    </sheetView>
  </sheetViews>
  <sheetFormatPr defaultRowHeight="13" x14ac:dyDescent="0.3"/>
  <cols>
    <col min="2" max="2" width="10.7265625" style="121" customWidth="1"/>
    <col min="3" max="5" width="16.7265625" style="121" customWidth="1"/>
  </cols>
  <sheetData>
    <row r="1" spans="1:5" ht="15.5" customHeight="1" x14ac:dyDescent="0.35">
      <c r="A1" s="9" t="str">
        <f>'Inputs From Decisions'!B1&amp;" RSAM Calculation"</f>
        <v>2021 RSAM Calculation</v>
      </c>
      <c r="B1" s="45"/>
      <c r="C1" s="45"/>
      <c r="D1" s="45"/>
      <c r="E1" s="45"/>
    </row>
    <row r="2" spans="1:5" x14ac:dyDescent="0.3">
      <c r="A2" s="1" t="s">
        <v>56</v>
      </c>
      <c r="B2" s="45"/>
      <c r="C2" s="45"/>
      <c r="D2" s="45"/>
      <c r="E2" s="45"/>
    </row>
    <row r="3" spans="1:5" x14ac:dyDescent="0.3">
      <c r="A3" s="46"/>
      <c r="B3" s="46"/>
      <c r="C3" s="46"/>
      <c r="D3" s="46"/>
      <c r="E3" s="46"/>
    </row>
    <row r="4" spans="1:5" x14ac:dyDescent="0.3">
      <c r="A4" s="6" t="s">
        <v>57</v>
      </c>
      <c r="B4" s="6" t="s">
        <v>58</v>
      </c>
      <c r="C4" s="6" t="s">
        <v>59</v>
      </c>
      <c r="D4" s="6" t="s">
        <v>60</v>
      </c>
      <c r="E4" s="6" t="s">
        <v>61</v>
      </c>
    </row>
    <row r="5" spans="1:5" ht="26" customHeight="1" x14ac:dyDescent="0.3">
      <c r="A5" s="84" t="s">
        <v>62</v>
      </c>
      <c r="B5" s="85" t="s">
        <v>24</v>
      </c>
      <c r="C5" s="83" t="s">
        <v>63</v>
      </c>
      <c r="D5" s="83" t="s">
        <v>64</v>
      </c>
      <c r="E5" s="83" t="s">
        <v>65</v>
      </c>
    </row>
    <row r="6" spans="1:5" x14ac:dyDescent="0.3">
      <c r="A6" s="82">
        <v>103</v>
      </c>
      <c r="B6" s="82" t="s">
        <v>3</v>
      </c>
      <c r="C6" s="86">
        <f>'Inputs From Decisions'!B7</f>
        <v>0.21</v>
      </c>
      <c r="D6" s="117">
        <f>'Inputs From Decisions'!B10</f>
        <v>7.9037135755913618E-2</v>
      </c>
      <c r="E6" s="117">
        <f t="shared" ref="E6:E12" si="0">D6+(1-D6)*C6</f>
        <v>0.27243933724717173</v>
      </c>
    </row>
    <row r="7" spans="1:5" x14ac:dyDescent="0.3">
      <c r="A7" s="82">
        <v>105</v>
      </c>
      <c r="B7" s="82" t="s">
        <v>4</v>
      </c>
      <c r="C7" s="86">
        <f t="shared" ref="C7:C12" si="1">$C$6</f>
        <v>0.21</v>
      </c>
      <c r="D7" s="117">
        <f>'Inputs From Decisions'!B11</f>
        <v>7.8271685002895192E-2</v>
      </c>
      <c r="E7" s="117">
        <f t="shared" si="0"/>
        <v>0.27183463115228723</v>
      </c>
    </row>
    <row r="8" spans="1:5" x14ac:dyDescent="0.3">
      <c r="A8" s="82">
        <v>400</v>
      </c>
      <c r="B8" s="82" t="s">
        <v>5</v>
      </c>
      <c r="C8" s="86">
        <f t="shared" si="1"/>
        <v>0.21</v>
      </c>
      <c r="D8" s="117">
        <f>'Inputs From Decisions'!B12</f>
        <v>5.1641394325121402E-2</v>
      </c>
      <c r="E8" s="117">
        <f t="shared" si="0"/>
        <v>0.25079670151684591</v>
      </c>
    </row>
    <row r="9" spans="1:5" x14ac:dyDescent="0.3">
      <c r="A9" s="82">
        <v>555</v>
      </c>
      <c r="B9" s="82" t="s">
        <v>6</v>
      </c>
      <c r="C9" s="86">
        <f t="shared" si="1"/>
        <v>0.21</v>
      </c>
      <c r="D9" s="117">
        <f>'Inputs From Decisions'!B13</f>
        <v>5.6713947066193135E-2</v>
      </c>
      <c r="E9" s="117">
        <f t="shared" si="0"/>
        <v>0.25480401818229259</v>
      </c>
    </row>
    <row r="10" spans="1:5" x14ac:dyDescent="0.3">
      <c r="A10" s="82">
        <v>712</v>
      </c>
      <c r="B10" s="82" t="s">
        <v>7</v>
      </c>
      <c r="C10" s="86">
        <f t="shared" si="1"/>
        <v>0.21</v>
      </c>
      <c r="D10" s="117">
        <f>'Inputs From Decisions'!B14</f>
        <v>5.009827271504301E-2</v>
      </c>
      <c r="E10" s="117">
        <f t="shared" si="0"/>
        <v>0.24957763544488398</v>
      </c>
    </row>
    <row r="11" spans="1:5" x14ac:dyDescent="0.3">
      <c r="A11" s="82">
        <v>777</v>
      </c>
      <c r="B11" s="82" t="s">
        <v>8</v>
      </c>
      <c r="C11" s="86">
        <f t="shared" si="1"/>
        <v>0.21</v>
      </c>
      <c r="D11" s="117">
        <f>'Inputs From Decisions'!B15</f>
        <v>5.0675419536351997E-2</v>
      </c>
      <c r="E11" s="117">
        <f t="shared" si="0"/>
        <v>0.25003358143371807</v>
      </c>
    </row>
    <row r="12" spans="1:5" x14ac:dyDescent="0.3">
      <c r="A12" s="82">
        <v>802</v>
      </c>
      <c r="B12" s="82" t="s">
        <v>9</v>
      </c>
      <c r="C12" s="86">
        <f t="shared" si="1"/>
        <v>0.21</v>
      </c>
      <c r="D12" s="117">
        <f>'Inputs From Decisions'!B16</f>
        <v>5.4510636723129856E-2</v>
      </c>
      <c r="E12" s="117">
        <f t="shared" si="0"/>
        <v>0.25306340301127256</v>
      </c>
    </row>
    <row r="15" spans="1:5" x14ac:dyDescent="0.3">
      <c r="A15" t="s">
        <v>66</v>
      </c>
    </row>
    <row r="16" spans="1:5" x14ac:dyDescent="0.3">
      <c r="A16" s="60" t="str">
        <f>"     Column D:  EP 682 Sub "&amp;'Inputs From Decisions'!B1-2008&amp;", Annual Submission of State Tax Information - "&amp;'Inputs From Decisions'!B1</f>
        <v xml:space="preserve">     Column D:  EP 682 Sub 13, Annual Submission of State Tax Information - 2021</v>
      </c>
    </row>
  </sheetData>
  <sheetProtection algorithmName="SHA-512" hashValue="dHFkIeywXxSr58k99QSUJofmmmfIzwHtUOXXivylrjPUXzd3BleTyPrldQALrlJ9CQPUA1JBSe1xj0HiGhbTZQ==" saltValue="lyf3IR20vOyujcVcEsYn9Q==" spinCount="100000" sheet="1" objects="1" scenarios="1"/>
  <printOptions horizontalCentered="1"/>
  <pageMargins left="0.75" right="0.75" top="1" bottom="1" header="0.5" footer="0.5"/>
  <pageSetup orientation="landscape"/>
  <headerFooter alignWithMargins="0">
    <oddFooter>&amp;L&amp;F [&amp;A]&amp;RPage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0"/>
  <sheetViews>
    <sheetView zoomScale="55" zoomScaleNormal="55" workbookViewId="0">
      <pane xSplit="2" ySplit="5" topLeftCell="C6" activePane="bottomRight" state="frozen"/>
      <selection activeCell="D10" sqref="D10"/>
      <selection pane="topRight" activeCell="D10" sqref="D10"/>
      <selection pane="bottomLeft" activeCell="D10" sqref="D10"/>
      <selection pane="bottomRight" activeCell="D24" sqref="D24"/>
    </sheetView>
  </sheetViews>
  <sheetFormatPr defaultRowHeight="13" x14ac:dyDescent="0.3"/>
  <cols>
    <col min="2" max="2" width="10.7265625" style="121" customWidth="1"/>
    <col min="3" max="7" width="16.7265625" style="121" customWidth="1"/>
    <col min="8" max="8" width="12.7265625" style="121" customWidth="1"/>
    <col min="9" max="9" width="20.7265625" style="121" customWidth="1"/>
  </cols>
  <sheetData>
    <row r="1" spans="1:11" ht="15.5" customHeight="1" x14ac:dyDescent="0.35">
      <c r="A1" s="9" t="str">
        <f>'Inputs From Decisions'!B1&amp;" RSAM Calculation"</f>
        <v>2021 RSAM Calculation</v>
      </c>
      <c r="B1" s="2"/>
      <c r="C1" s="2"/>
      <c r="D1" s="2"/>
      <c r="E1" s="2"/>
      <c r="F1" s="2"/>
      <c r="G1" s="2"/>
      <c r="H1" s="2"/>
      <c r="I1" s="2"/>
    </row>
    <row r="2" spans="1:11" x14ac:dyDescent="0.3">
      <c r="A2" s="1" t="s">
        <v>67</v>
      </c>
      <c r="B2" s="2"/>
      <c r="C2" s="2"/>
      <c r="D2" s="2"/>
      <c r="E2" s="2"/>
      <c r="F2" s="2"/>
      <c r="G2" s="2"/>
      <c r="H2" s="2"/>
      <c r="I2" s="2"/>
    </row>
    <row r="4" spans="1:11" x14ac:dyDescent="0.3">
      <c r="A4" s="6" t="s">
        <v>57</v>
      </c>
      <c r="B4" s="6" t="s">
        <v>58</v>
      </c>
      <c r="C4" s="6" t="s">
        <v>59</v>
      </c>
      <c r="D4" s="6" t="s">
        <v>60</v>
      </c>
      <c r="E4" s="6" t="s">
        <v>68</v>
      </c>
      <c r="F4" s="6" t="s">
        <v>69</v>
      </c>
      <c r="G4" s="6" t="s">
        <v>70</v>
      </c>
      <c r="H4" s="6" t="s">
        <v>71</v>
      </c>
      <c r="I4" s="6" t="s">
        <v>72</v>
      </c>
    </row>
    <row r="5" spans="1:11" ht="26" customHeight="1" x14ac:dyDescent="0.3">
      <c r="A5" s="4" t="s">
        <v>62</v>
      </c>
      <c r="B5" s="5" t="s">
        <v>24</v>
      </c>
      <c r="C5" s="7" t="s">
        <v>73</v>
      </c>
      <c r="D5" s="7" t="s">
        <v>74</v>
      </c>
      <c r="E5" s="7" t="s">
        <v>75</v>
      </c>
      <c r="F5" s="7" t="s">
        <v>76</v>
      </c>
      <c r="G5" s="7" t="s">
        <v>77</v>
      </c>
      <c r="H5" s="7" t="s">
        <v>65</v>
      </c>
      <c r="I5" s="7" t="s">
        <v>78</v>
      </c>
      <c r="J5" s="46"/>
    </row>
    <row r="6" spans="1:11" x14ac:dyDescent="0.3">
      <c r="A6" s="47">
        <v>103</v>
      </c>
      <c r="B6" s="47" t="s">
        <v>3</v>
      </c>
      <c r="C6" s="52">
        <f>'R-1 Schedule 250 Part A'!D31</f>
        <v>11972009.5</v>
      </c>
      <c r="D6" s="48">
        <f>'Inputs From Decisions'!B5</f>
        <v>0.1037</v>
      </c>
      <c r="E6" s="52">
        <f t="shared" ref="E6:E12" si="0">C6*D6</f>
        <v>1241497.38515</v>
      </c>
      <c r="F6" s="52">
        <f>'R-1 Schedule 250 Part A'!D9</f>
        <v>932087</v>
      </c>
      <c r="G6" s="52">
        <f t="shared" ref="G6:G12" si="1">E6-F6</f>
        <v>309410.38514999999</v>
      </c>
      <c r="H6" s="48">
        <f>'Tax Rates'!E6</f>
        <v>0.27243933724717173</v>
      </c>
      <c r="I6" s="52">
        <f t="shared" ref="I6:I12" si="2">G6/(1-H6)</f>
        <v>425270.91002872831</v>
      </c>
      <c r="J6" s="46"/>
      <c r="K6" s="103"/>
    </row>
    <row r="7" spans="1:11" x14ac:dyDescent="0.3">
      <c r="A7" s="49">
        <v>105</v>
      </c>
      <c r="B7" s="49" t="s">
        <v>4</v>
      </c>
      <c r="C7" s="53">
        <f>'R-1 Schedule 250 Part A'!G31</f>
        <v>3842984</v>
      </c>
      <c r="D7" s="51">
        <f t="shared" ref="D7:D12" si="3">$D$6</f>
        <v>0.1037</v>
      </c>
      <c r="E7" s="53">
        <f t="shared" si="0"/>
        <v>398517.44079999998</v>
      </c>
      <c r="F7" s="53">
        <f>'R-1 Schedule 250 Part A'!G9</f>
        <v>519087</v>
      </c>
      <c r="G7" s="53">
        <f t="shared" si="1"/>
        <v>-120569.55920000002</v>
      </c>
      <c r="H7" s="51">
        <f>'Tax Rates'!E7</f>
        <v>0.27183463115228723</v>
      </c>
      <c r="I7" s="53">
        <f t="shared" si="2"/>
        <v>-165579.91406649241</v>
      </c>
      <c r="J7" s="46"/>
      <c r="K7" s="103"/>
    </row>
    <row r="8" spans="1:11" x14ac:dyDescent="0.3">
      <c r="A8" s="49">
        <v>400</v>
      </c>
      <c r="B8" s="49" t="s">
        <v>5</v>
      </c>
      <c r="C8" s="53">
        <f>'R-1 Schedule 250 Part A'!E31</f>
        <v>4710545</v>
      </c>
      <c r="D8" s="51">
        <f t="shared" si="3"/>
        <v>0.1037</v>
      </c>
      <c r="E8" s="53">
        <f t="shared" si="0"/>
        <v>488483.51650000003</v>
      </c>
      <c r="F8" s="53">
        <f>'R-1 Schedule 250 Part A'!E9</f>
        <v>388726</v>
      </c>
      <c r="G8" s="53">
        <f t="shared" si="1"/>
        <v>99757.516500000027</v>
      </c>
      <c r="H8" s="51">
        <f>'Tax Rates'!E8</f>
        <v>0.25079670151684591</v>
      </c>
      <c r="I8" s="53">
        <f t="shared" si="2"/>
        <v>133151.46463178992</v>
      </c>
      <c r="J8" s="46"/>
      <c r="K8" s="103"/>
    </row>
    <row r="9" spans="1:11" x14ac:dyDescent="0.3">
      <c r="A9" s="49">
        <v>555</v>
      </c>
      <c r="B9" s="49" t="s">
        <v>6</v>
      </c>
      <c r="C9" s="53">
        <f>'R-1 Schedule 250 Part A'!F31</f>
        <v>24148911.5</v>
      </c>
      <c r="D9" s="51">
        <f t="shared" si="3"/>
        <v>0.1037</v>
      </c>
      <c r="E9" s="53">
        <f t="shared" si="0"/>
        <v>2504242.12255</v>
      </c>
      <c r="F9" s="53">
        <f>'R-1 Schedule 250 Part A'!F9</f>
        <v>3183080</v>
      </c>
      <c r="G9" s="53">
        <f t="shared" si="1"/>
        <v>-678837.87745000003</v>
      </c>
      <c r="H9" s="51">
        <f>'Tax Rates'!E9</f>
        <v>0.25480401818229259</v>
      </c>
      <c r="I9" s="53">
        <f t="shared" si="2"/>
        <v>-910952.14415160369</v>
      </c>
      <c r="J9" s="46"/>
      <c r="K9" s="103"/>
    </row>
    <row r="10" spans="1:11" x14ac:dyDescent="0.3">
      <c r="A10" s="49">
        <v>712</v>
      </c>
      <c r="B10" s="49" t="s">
        <v>7</v>
      </c>
      <c r="C10" s="53">
        <f>'R-1 Schedule 250 Part A'!C31</f>
        <v>23816948.5</v>
      </c>
      <c r="D10" s="51">
        <f t="shared" si="3"/>
        <v>0.1037</v>
      </c>
      <c r="E10" s="53">
        <f t="shared" si="0"/>
        <v>2469817.5594500001</v>
      </c>
      <c r="F10" s="53">
        <f>'R-1 Schedule 250 Part A'!C9</f>
        <v>3693837</v>
      </c>
      <c r="G10" s="53">
        <f t="shared" si="1"/>
        <v>-1224019.4405499999</v>
      </c>
      <c r="H10" s="51">
        <f>'Tax Rates'!E10</f>
        <v>0.24957763544488398</v>
      </c>
      <c r="I10" s="53">
        <f t="shared" si="2"/>
        <v>-1631107.3581551018</v>
      </c>
      <c r="J10" s="46"/>
      <c r="K10" s="103"/>
    </row>
    <row r="11" spans="1:11" x14ac:dyDescent="0.3">
      <c r="A11" s="49">
        <v>777</v>
      </c>
      <c r="B11" s="49" t="s">
        <v>8</v>
      </c>
      <c r="C11" s="53">
        <f>'R-1 Schedule 250 Part A'!B31</f>
        <v>50237286.5</v>
      </c>
      <c r="D11" s="51">
        <f t="shared" si="3"/>
        <v>0.1037</v>
      </c>
      <c r="E11" s="53">
        <f t="shared" si="0"/>
        <v>5209606.6100500003</v>
      </c>
      <c r="F11" s="53">
        <f>'R-1 Schedule 250 Part A'!B9</f>
        <v>6625430</v>
      </c>
      <c r="G11" s="53">
        <f t="shared" si="1"/>
        <v>-1415823.3899499997</v>
      </c>
      <c r="H11" s="51">
        <f>'Tax Rates'!E11</f>
        <v>0.25003358143371807</v>
      </c>
      <c r="I11" s="53">
        <f t="shared" si="2"/>
        <v>-1887849.0488369372</v>
      </c>
      <c r="J11" s="46"/>
      <c r="K11" s="103"/>
    </row>
    <row r="12" spans="1:11" x14ac:dyDescent="0.3">
      <c r="A12" s="49">
        <v>802</v>
      </c>
      <c r="B12" s="49" t="s">
        <v>9</v>
      </c>
      <c r="C12" s="53">
        <f>'R-1 Schedule 250 Part A'!H31</f>
        <v>41266592</v>
      </c>
      <c r="D12" s="51">
        <f t="shared" si="3"/>
        <v>0.1037</v>
      </c>
      <c r="E12" s="53">
        <f t="shared" si="0"/>
        <v>4279345.5904000001</v>
      </c>
      <c r="F12" s="53">
        <f>'R-1 Schedule 250 Part A'!H9</f>
        <v>7027641</v>
      </c>
      <c r="G12" s="53">
        <f t="shared" si="1"/>
        <v>-2748295.4095999999</v>
      </c>
      <c r="H12" s="51">
        <f>'Tax Rates'!E12</f>
        <v>0.25306340301127256</v>
      </c>
      <c r="I12" s="53">
        <f t="shared" si="2"/>
        <v>-3679422.6185726398</v>
      </c>
      <c r="J12" s="46"/>
      <c r="K12" s="103"/>
    </row>
    <row r="13" spans="1:11" x14ac:dyDescent="0.3">
      <c r="A13" s="46"/>
      <c r="B13" s="54" t="s">
        <v>20</v>
      </c>
      <c r="C13" s="53">
        <f>SUM(C6:C12)</f>
        <v>159995277</v>
      </c>
      <c r="D13" s="63"/>
      <c r="E13" s="53">
        <f>SUM(E6:E12)</f>
        <v>16591510.2249</v>
      </c>
      <c r="F13" s="53">
        <f>SUM(F6:F12)</f>
        <v>22369888</v>
      </c>
      <c r="G13" s="53">
        <f>SUM(G6:G12)</f>
        <v>-5778377.7751000002</v>
      </c>
      <c r="H13" s="50"/>
      <c r="I13" s="53">
        <f>SUM(I6:I12)</f>
        <v>-7716488.7091222573</v>
      </c>
      <c r="J13" s="46"/>
    </row>
    <row r="14" spans="1:11" x14ac:dyDescent="0.3">
      <c r="A14" s="46"/>
      <c r="B14" s="46"/>
      <c r="C14" s="46"/>
      <c r="D14" s="46"/>
      <c r="E14" s="46"/>
      <c r="F14" s="46"/>
      <c r="G14" s="46"/>
      <c r="H14" s="46"/>
      <c r="I14" s="46"/>
      <c r="J14" s="46"/>
    </row>
    <row r="15" spans="1:11" x14ac:dyDescent="0.3">
      <c r="A15" s="46"/>
      <c r="B15" s="46"/>
      <c r="C15" s="46"/>
      <c r="D15" s="46"/>
      <c r="E15" s="46"/>
      <c r="F15" s="46"/>
      <c r="G15" s="46"/>
      <c r="H15" s="46"/>
      <c r="I15" s="46"/>
      <c r="J15" s="46"/>
    </row>
    <row r="16" spans="1:11" x14ac:dyDescent="0.3">
      <c r="A16" s="46" t="s">
        <v>66</v>
      </c>
      <c r="B16" s="46"/>
      <c r="C16" s="46"/>
      <c r="D16" s="46"/>
      <c r="E16" s="46"/>
      <c r="F16" s="46"/>
      <c r="G16" s="46"/>
      <c r="H16" s="46"/>
      <c r="I16" s="46"/>
      <c r="J16" s="46"/>
    </row>
    <row r="17" spans="1:10" x14ac:dyDescent="0.3">
      <c r="A17" s="60" t="str">
        <f>"     Column C:  "&amp;'Inputs From Decisions'!B1&amp;" R-1 Schedule 250 Part A."</f>
        <v xml:space="preserve">     Column C:  2021 R-1 Schedule 250 Part A.</v>
      </c>
      <c r="B17" s="46"/>
      <c r="C17" s="46"/>
      <c r="D17" s="46"/>
      <c r="E17" s="46"/>
      <c r="F17" s="46"/>
      <c r="G17" s="46"/>
      <c r="H17" s="46"/>
      <c r="I17" s="46"/>
      <c r="J17" s="46"/>
    </row>
    <row r="18" spans="1:10" x14ac:dyDescent="0.3">
      <c r="A18" s="60" t="str">
        <f>"     Column D:  EP 558 Sub "&amp;'Inputs From Decisions'!B1-1996&amp;", Railroad Cost of Capital - "&amp;'Inputs From Decisions'!B1&amp;"."</f>
        <v xml:space="preserve">     Column D:  EP 558 Sub 25, Railroad Cost of Capital - 2021.</v>
      </c>
      <c r="E18" s="81"/>
    </row>
    <row r="19" spans="1:10" x14ac:dyDescent="0.3">
      <c r="A19" s="60" t="str">
        <f>"     Column F:  "&amp;'Inputs From Decisions'!B1&amp;" R-1 Schedule 250 Part A."</f>
        <v xml:space="preserve">     Column F:  2021 R-1 Schedule 250 Part A.</v>
      </c>
    </row>
    <row r="20" spans="1:10" x14ac:dyDescent="0.3">
      <c r="A20" s="60" t="str">
        <f>"     Column H:  '"&amp;'Inputs From Decisions'!B1&amp;" Tax Rates' tab."</f>
        <v xml:space="preserve">     Column H:  '2021 Tax Rates' tab.</v>
      </c>
    </row>
  </sheetData>
  <sheetProtection algorithmName="SHA-512" hashValue="OHYsjd+JBWSDK5B3ZEunAq13jPxZkHOpNuC23H5sy71AlFzMEluCzMxJbmfP4hve8jSaxlpg9E9pG2PgalOmGg==" saltValue="TX6dJG4N4/MGhJw++HKcjg==" spinCount="100000" sheet="1" objects="1" scenarios="1"/>
  <printOptions horizontalCentered="1"/>
  <pageMargins left="0.75" right="0.75" top="1" bottom="1" header="0.5" footer="0.5"/>
  <pageSetup scale="90" orientation="landscape"/>
  <headerFooter alignWithMargins="0">
    <oddFooter>&amp;L&amp;F [&amp;A]&amp;RPage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25"/>
  <sheetViews>
    <sheetView tabSelected="1" zoomScale="70" zoomScaleNormal="70" workbookViewId="0">
      <pane xSplit="2" ySplit="5" topLeftCell="C6" activePane="bottomRight" state="frozen"/>
      <selection activeCell="D10" sqref="D10"/>
      <selection pane="topRight" activeCell="D10" sqref="D10"/>
      <selection pane="bottomLeft" activeCell="D10" sqref="D10"/>
      <selection pane="bottomRight" activeCell="H11" sqref="H11"/>
    </sheetView>
  </sheetViews>
  <sheetFormatPr defaultRowHeight="13" x14ac:dyDescent="0.3"/>
  <cols>
    <col min="2" max="2" width="10.7265625" style="121" customWidth="1"/>
    <col min="3" max="4" width="16.7265625" style="121" customWidth="1"/>
    <col min="5" max="5" width="12.7265625" style="121" customWidth="1"/>
    <col min="6" max="6" width="18.7265625" style="121" customWidth="1"/>
    <col min="7" max="7" width="12.7265625" style="121" customWidth="1"/>
  </cols>
  <sheetData>
    <row r="1" spans="1:7" ht="15.5" customHeight="1" x14ac:dyDescent="0.35">
      <c r="A1" s="9" t="str">
        <f>'Inputs From Decisions'!B1&amp;" RSAM Calculation"</f>
        <v>2021 RSAM Calculation</v>
      </c>
      <c r="B1" s="45"/>
      <c r="C1" s="45"/>
      <c r="D1" s="45"/>
      <c r="E1" s="45"/>
      <c r="F1" s="45"/>
      <c r="G1" s="45"/>
    </row>
    <row r="2" spans="1:7" x14ac:dyDescent="0.3">
      <c r="A2" s="46"/>
      <c r="B2" s="46"/>
      <c r="C2" s="46"/>
      <c r="D2" s="46"/>
      <c r="E2" s="46"/>
      <c r="F2" s="46"/>
      <c r="G2" s="46"/>
    </row>
    <row r="3" spans="1:7" x14ac:dyDescent="0.3">
      <c r="A3" s="6" t="s">
        <v>57</v>
      </c>
      <c r="B3" s="6" t="s">
        <v>58</v>
      </c>
      <c r="C3" s="6" t="s">
        <v>59</v>
      </c>
      <c r="D3" s="6" t="s">
        <v>60</v>
      </c>
      <c r="E3" s="6" t="s">
        <v>79</v>
      </c>
      <c r="F3" s="6" t="s">
        <v>69</v>
      </c>
      <c r="G3" s="6" t="s">
        <v>80</v>
      </c>
    </row>
    <row r="4" spans="1:7" x14ac:dyDescent="0.3">
      <c r="A4" s="46"/>
      <c r="B4" s="46"/>
      <c r="C4" s="3" t="s">
        <v>81</v>
      </c>
      <c r="D4" s="55"/>
      <c r="E4" s="46"/>
      <c r="F4" s="46"/>
      <c r="G4" s="46"/>
    </row>
    <row r="5" spans="1:7" ht="26" customHeight="1" x14ac:dyDescent="0.3">
      <c r="A5" s="4" t="s">
        <v>62</v>
      </c>
      <c r="B5" s="5" t="s">
        <v>24</v>
      </c>
      <c r="C5" s="4" t="s">
        <v>82</v>
      </c>
      <c r="D5" s="4" t="s">
        <v>83</v>
      </c>
      <c r="E5" s="4" t="s">
        <v>84</v>
      </c>
      <c r="F5" s="7" t="s">
        <v>85</v>
      </c>
      <c r="G5" s="4" t="s">
        <v>86</v>
      </c>
    </row>
    <row r="6" spans="1:7" x14ac:dyDescent="0.3">
      <c r="A6" s="47">
        <v>103</v>
      </c>
      <c r="B6" s="47" t="s">
        <v>3</v>
      </c>
      <c r="C6" s="56">
        <f>VLOOKUP($A6,RSAM_Class_I_Costs_and_Rev!$A$5:$J$11,9,FALSE)/1000</f>
        <v>1792627.102</v>
      </c>
      <c r="D6" s="56">
        <f>VLOOKUP($A6,RSAM_Class_I_Costs_and_Rev!$A$5:$J$11,5,FALSE)/1000</f>
        <v>655977.32799999998</v>
      </c>
      <c r="E6" s="100">
        <f t="shared" ref="E6:E12" si="0">C6/D6</f>
        <v>2.7327577120165349</v>
      </c>
      <c r="F6" s="56">
        <f>VLOOKUP($A6,'Shortfall (Surplus)'!$A$6:$I$12,9,FALSE)</f>
        <v>425270.91002872831</v>
      </c>
      <c r="G6" s="100">
        <f t="shared" ref="G6:G12" si="1">(C6+F6)/D6</f>
        <v>3.3810589442029135</v>
      </c>
    </row>
    <row r="7" spans="1:7" x14ac:dyDescent="0.3">
      <c r="A7" s="49">
        <v>105</v>
      </c>
      <c r="B7" s="49" t="s">
        <v>4</v>
      </c>
      <c r="C7" s="53">
        <f>VLOOKUP($A7,RSAM_Class_I_Costs_and_Rev!$A$5:$J$11,9,FALSE)/1000</f>
        <v>922668.03099999996</v>
      </c>
      <c r="D7" s="53">
        <f>VLOOKUP($A7,RSAM_Class_I_Costs_and_Rev!$A$5:$J$11,5,FALSE)/1000</f>
        <v>359008.62099999998</v>
      </c>
      <c r="E7" s="101">
        <f t="shared" si="0"/>
        <v>2.5700442190774022</v>
      </c>
      <c r="F7" s="53">
        <f>VLOOKUP($A7,'Shortfall (Surplus)'!$A$6:$I$12,9,FALSE)</f>
        <v>-165579.91406649241</v>
      </c>
      <c r="G7" s="101">
        <f t="shared" si="1"/>
        <v>2.108829907272638</v>
      </c>
    </row>
    <row r="8" spans="1:7" x14ac:dyDescent="0.3">
      <c r="A8" s="49">
        <v>400</v>
      </c>
      <c r="B8" s="49" t="s">
        <v>5</v>
      </c>
      <c r="C8" s="53">
        <f>VLOOKUP($A8,RSAM_Class_I_Costs_and_Rev!$A$5:$J$11,9,FALSE)/1000</f>
        <v>455365.76299999998</v>
      </c>
      <c r="D8" s="53">
        <f>VLOOKUP($A8,RSAM_Class_I_Costs_and_Rev!$A$5:$J$11,5,FALSE)/1000</f>
        <v>191339.38200000001</v>
      </c>
      <c r="E8" s="101">
        <f t="shared" si="0"/>
        <v>2.3798851979149798</v>
      </c>
      <c r="F8" s="53">
        <f>VLOOKUP($A8,'Shortfall (Surplus)'!$A$6:$I$12,9,FALSE)</f>
        <v>133151.46463178992</v>
      </c>
      <c r="G8" s="101">
        <f t="shared" si="1"/>
        <v>3.0757767767421234</v>
      </c>
    </row>
    <row r="9" spans="1:7" x14ac:dyDescent="0.3">
      <c r="A9" s="49">
        <v>555</v>
      </c>
      <c r="B9" s="49" t="s">
        <v>6</v>
      </c>
      <c r="C9" s="53">
        <f>VLOOKUP($A9,RSAM_Class_I_Costs_and_Rev!$A$5:$J$11,9,FALSE)/1000</f>
        <v>5161326.7089999998</v>
      </c>
      <c r="D9" s="53">
        <f>VLOOKUP($A9,RSAM_Class_I_Costs_and_Rev!$A$5:$J$11,5,FALSE)/1000</f>
        <v>2038329.1850000001</v>
      </c>
      <c r="E9" s="101">
        <f t="shared" si="0"/>
        <v>2.5321359999071982</v>
      </c>
      <c r="F9" s="53">
        <f>VLOOKUP($A9,'Shortfall (Surplus)'!$A$6:$I$12,9,FALSE)</f>
        <v>-910952.14415160369</v>
      </c>
      <c r="G9" s="101">
        <f t="shared" si="1"/>
        <v>2.0852247988827162</v>
      </c>
    </row>
    <row r="10" spans="1:7" x14ac:dyDescent="0.3">
      <c r="A10" s="49">
        <v>712</v>
      </c>
      <c r="B10" s="49" t="s">
        <v>7</v>
      </c>
      <c r="C10" s="53">
        <f>VLOOKUP($A10,RSAM_Class_I_Costs_and_Rev!$A$5:$J$11,9,FALSE)/1000</f>
        <v>4766795.3710000003</v>
      </c>
      <c r="D10" s="53">
        <f>VLOOKUP($A10,RSAM_Class_I_Costs_and_Rev!$A$5:$J$11,5,FALSE)/1000</f>
        <v>1752654.7919999999</v>
      </c>
      <c r="E10" s="101">
        <f t="shared" si="0"/>
        <v>2.7197571322989886</v>
      </c>
      <c r="F10" s="53">
        <f>VLOOKUP($A10,'Shortfall (Surplus)'!$A$6:$I$12,9,FALSE)</f>
        <v>-1631107.3581551018</v>
      </c>
      <c r="G10" s="101">
        <f t="shared" si="1"/>
        <v>1.789107602454151</v>
      </c>
    </row>
    <row r="11" spans="1:7" x14ac:dyDescent="0.3">
      <c r="A11" s="49">
        <v>777</v>
      </c>
      <c r="B11" s="49" t="s">
        <v>8</v>
      </c>
      <c r="C11" s="53">
        <f>VLOOKUP($A11,RSAM_Class_I_Costs_and_Rev!$A$5:$J$11,9,FALSE)/1000</f>
        <v>7735409.3449999997</v>
      </c>
      <c r="D11" s="53">
        <f>VLOOKUP($A11,RSAM_Class_I_Costs_and_Rev!$A$5:$J$11,5,FALSE)/1000</f>
        <v>3346721.75</v>
      </c>
      <c r="E11" s="101">
        <f t="shared" si="0"/>
        <v>2.3113392516124174</v>
      </c>
      <c r="F11" s="53">
        <f>VLOOKUP($A11,'Shortfall (Surplus)'!$A$6:$I$12,9,FALSE)</f>
        <v>-1887849.0488369372</v>
      </c>
      <c r="G11" s="101">
        <f t="shared" si="1"/>
        <v>1.7472502146803996</v>
      </c>
    </row>
    <row r="12" spans="1:7" x14ac:dyDescent="0.3">
      <c r="A12" s="49">
        <v>802</v>
      </c>
      <c r="B12" s="49" t="s">
        <v>9</v>
      </c>
      <c r="C12" s="53">
        <f>VLOOKUP($A12,RSAM_Class_I_Costs_and_Rev!$A$5:$J$11,9,FALSE)/1000</f>
        <v>12591383.853</v>
      </c>
      <c r="D12" s="53">
        <f>VLOOKUP($A12,RSAM_Class_I_Costs_and_Rev!$A$5:$J$11,5,FALSE)/1000</f>
        <v>4958551.4720000001</v>
      </c>
      <c r="E12" s="101">
        <f t="shared" si="0"/>
        <v>2.539327044218691</v>
      </c>
      <c r="F12" s="53">
        <f>VLOOKUP($A12,'Shortfall (Surplus)'!$A$6:$I$12,9,FALSE)</f>
        <v>-3679422.6185726398</v>
      </c>
      <c r="G12" s="101">
        <f t="shared" si="1"/>
        <v>1.7972912623276205</v>
      </c>
    </row>
    <row r="14" spans="1:7" x14ac:dyDescent="0.3">
      <c r="F14" s="44"/>
    </row>
    <row r="15" spans="1:7" x14ac:dyDescent="0.3">
      <c r="A15" t="s">
        <v>66</v>
      </c>
    </row>
    <row r="16" spans="1:7" x14ac:dyDescent="0.3">
      <c r="A16" s="60" t="str">
        <f>"     Column C:  "&amp;'Inputs From Decisions'!B1&amp;" Carload Waybill Sample."</f>
        <v xml:space="preserve">     Column C:  2021 Carload Waybill Sample.</v>
      </c>
    </row>
    <row r="17" spans="1:8" x14ac:dyDescent="0.3">
      <c r="A17" s="60" t="str">
        <f>"     Column D:  "&amp;'Inputs From Decisions'!B1&amp;" Carload Waybill Sample."</f>
        <v xml:space="preserve">     Column D:  2021 Carload Waybill Sample.</v>
      </c>
    </row>
    <row r="18" spans="1:8" x14ac:dyDescent="0.3">
      <c r="A18" s="60" t="str">
        <f>"     Column F:  '"&amp;'Inputs From Decisions'!B1&amp;" Shortfall (Surplus)' tab."</f>
        <v xml:space="preserve">     Column F:  '2021 Shortfall (Surplus)' tab.</v>
      </c>
    </row>
    <row r="19" spans="1:8" x14ac:dyDescent="0.3">
      <c r="C19" s="98"/>
      <c r="D19" s="98"/>
    </row>
    <row r="20" spans="1:8" x14ac:dyDescent="0.3">
      <c r="A20" s="119"/>
      <c r="B20" s="119"/>
      <c r="C20" s="119"/>
      <c r="D20" s="119"/>
      <c r="E20" s="119"/>
      <c r="F20" s="119"/>
      <c r="G20" s="119"/>
      <c r="H20" s="119"/>
    </row>
    <row r="21" spans="1:8" x14ac:dyDescent="0.3">
      <c r="A21" s="119"/>
      <c r="B21" s="119"/>
      <c r="C21" s="119"/>
      <c r="D21" s="119"/>
      <c r="E21" s="119"/>
      <c r="F21" s="119"/>
      <c r="G21" s="119"/>
      <c r="H21" s="119"/>
    </row>
    <row r="22" spans="1:8" x14ac:dyDescent="0.3">
      <c r="A22" s="119"/>
      <c r="B22" s="119"/>
      <c r="C22" s="119"/>
      <c r="D22" s="119"/>
      <c r="E22" s="119"/>
      <c r="F22" s="119"/>
      <c r="G22" s="119"/>
      <c r="H22" s="119"/>
    </row>
    <row r="23" spans="1:8" x14ac:dyDescent="0.3">
      <c r="A23" s="119"/>
      <c r="B23" s="119"/>
      <c r="C23" s="119"/>
      <c r="D23" s="119"/>
      <c r="E23" s="119"/>
      <c r="F23" s="119"/>
      <c r="G23" s="119"/>
      <c r="H23" s="119"/>
    </row>
    <row r="24" spans="1:8" x14ac:dyDescent="0.3">
      <c r="A24" s="119"/>
      <c r="B24" s="119"/>
      <c r="C24" s="119"/>
      <c r="D24" s="119"/>
      <c r="E24" s="119"/>
      <c r="F24" s="119"/>
      <c r="G24" s="119"/>
      <c r="H24" s="119"/>
    </row>
    <row r="25" spans="1:8" x14ac:dyDescent="0.3">
      <c r="A25" s="119"/>
      <c r="B25" s="119"/>
      <c r="C25" s="119"/>
      <c r="D25" s="119"/>
      <c r="E25" s="119"/>
      <c r="F25" s="119"/>
      <c r="G25" s="119"/>
      <c r="H25" s="119"/>
    </row>
  </sheetData>
  <sheetProtection algorithmName="SHA-512" hashValue="vPotWXlNjc/BNkIlcbYwZjIOemy1pe4Ua++rASPee1Ia1RbsBDxMb0G072kGXgAlxnltpBSo/9+KwuraNo5b4w==" saltValue="cPuDOAS5fZU+fj6herO11Q==" spinCount="100000" sheet="1" objects="1" scenarios="1"/>
  <printOptions horizontalCentered="1"/>
  <pageMargins left="0.75" right="0.75" top="1" bottom="1" header="0.5" footer="0.5"/>
  <pageSetup orientation="landscape"/>
  <headerFooter alignWithMargins="0">
    <oddFooter>&amp;L&amp;F [&amp;A]&amp;RPage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Inputs From Decisions</vt:lpstr>
      <vt:lpstr>RSAM_Class_I_Costs_and_Rev</vt:lpstr>
      <vt:lpstr>R-1 Schedule 250 Part A</vt:lpstr>
      <vt:lpstr>Tax Rates</vt:lpstr>
      <vt:lpstr>Shortfall (Surplus)</vt:lpstr>
      <vt:lpstr>RSAM</vt:lpstr>
      <vt:lpstr>'R-1 Schedule 250 Part A'!Print_Area</vt:lpstr>
      <vt:lpstr>RSAM_2005_Costs_and_Revenues_for_Class_I_RRs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Pelsey</dc:creator>
  <cp:lastModifiedBy>Dusenberry, Alexander</cp:lastModifiedBy>
  <cp:lastPrinted>2020-01-28T19:15:44Z</cp:lastPrinted>
  <dcterms:created xsi:type="dcterms:W3CDTF">2010-04-05T15:06:46Z</dcterms:created>
  <dcterms:modified xsi:type="dcterms:W3CDTF">2023-01-24T14:47:40Z</dcterms:modified>
</cp:coreProperties>
</file>