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IP-HC(WaybillData)\WIP\Routine Study Prototypes\RSAM and All Stratification\RSAM\2022\"/>
    </mc:Choice>
  </mc:AlternateContent>
  <xr:revisionPtr revIDLastSave="0" documentId="13_ncr:1_{7A96CFBC-33C5-43A6-A3CC-AF9119C4A81E}" xr6:coauthVersionLast="47" xr6:coauthVersionMax="47" xr10:uidLastSave="{00000000-0000-0000-0000-000000000000}"/>
  <bookViews>
    <workbookView xWindow="-110" yWindow="-110" windowWidth="19420" windowHeight="10420" xr2:uid="{8E5D4408-2864-4EF6-8AFE-2FADEB6AB694}"/>
  </bookViews>
  <sheets>
    <sheet name="Inputs from Decisions" sheetId="1" r:id="rId1"/>
    <sheet name="RSAM_Class_I_Costs_and_Rev" sheetId="2" r:id="rId2"/>
    <sheet name="R-1 Schedule 250 Part A" sheetId="3" r:id="rId3"/>
    <sheet name="Tax Rates" sheetId="4" r:id="rId4"/>
    <sheet name="Shortfall (Surplus)" sheetId="5" r:id="rId5"/>
    <sheet name="RSAM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6" l="1"/>
  <c r="A17" i="6"/>
  <c r="A16" i="6"/>
  <c r="F12" i="6"/>
  <c r="E12" i="6"/>
  <c r="D12" i="6"/>
  <c r="C12" i="6"/>
  <c r="G12" i="6" s="1"/>
  <c r="F11" i="6"/>
  <c r="D11" i="6"/>
  <c r="C11" i="6"/>
  <c r="G11" i="6" s="1"/>
  <c r="G10" i="6"/>
  <c r="F10" i="6"/>
  <c r="D10" i="6"/>
  <c r="C10" i="6"/>
  <c r="E10" i="6" s="1"/>
  <c r="F9" i="6"/>
  <c r="D9" i="6"/>
  <c r="E9" i="6" s="1"/>
  <c r="C9" i="6"/>
  <c r="G9" i="6" s="1"/>
  <c r="F8" i="6"/>
  <c r="D8" i="6"/>
  <c r="C8" i="6"/>
  <c r="E8" i="6" s="1"/>
  <c r="F7" i="6"/>
  <c r="G7" i="6" s="1"/>
  <c r="D7" i="6"/>
  <c r="E7" i="6" s="1"/>
  <c r="C7" i="6"/>
  <c r="F6" i="6"/>
  <c r="D6" i="6"/>
  <c r="C6" i="6"/>
  <c r="G6" i="6" s="1"/>
  <c r="A1" i="6"/>
  <c r="A20" i="5"/>
  <c r="A19" i="5"/>
  <c r="A18" i="5"/>
  <c r="A17" i="5"/>
  <c r="H12" i="5"/>
  <c r="F12" i="5"/>
  <c r="C12" i="5"/>
  <c r="H11" i="5"/>
  <c r="F11" i="5"/>
  <c r="C11" i="5"/>
  <c r="H10" i="5"/>
  <c r="F10" i="5"/>
  <c r="C10" i="5"/>
  <c r="H9" i="5"/>
  <c r="F9" i="5"/>
  <c r="C9" i="5"/>
  <c r="H8" i="5"/>
  <c r="F8" i="5"/>
  <c r="C8" i="5"/>
  <c r="H7" i="5"/>
  <c r="F7" i="5"/>
  <c r="D7" i="5"/>
  <c r="E7" i="5" s="1"/>
  <c r="G7" i="5" s="1"/>
  <c r="I7" i="5" s="1"/>
  <c r="C7" i="5"/>
  <c r="H6" i="5"/>
  <c r="F6" i="5"/>
  <c r="F13" i="5" s="1"/>
  <c r="D6" i="5"/>
  <c r="D8" i="5" s="1"/>
  <c r="E8" i="5" s="1"/>
  <c r="G8" i="5" s="1"/>
  <c r="I8" i="5" s="1"/>
  <c r="C6" i="5"/>
  <c r="C13" i="5" s="1"/>
  <c r="A1" i="5"/>
  <c r="A16" i="4"/>
  <c r="D12" i="4"/>
  <c r="D11" i="4"/>
  <c r="E11" i="4" s="1"/>
  <c r="C11" i="4"/>
  <c r="D10" i="4"/>
  <c r="D9" i="4"/>
  <c r="E9" i="4" s="1"/>
  <c r="D8" i="4"/>
  <c r="E8" i="4" s="1"/>
  <c r="C8" i="4"/>
  <c r="D7" i="4"/>
  <c r="D6" i="4"/>
  <c r="E6" i="4" s="1"/>
  <c r="C6" i="4"/>
  <c r="C9" i="4" s="1"/>
  <c r="A1" i="4"/>
  <c r="H31" i="3"/>
  <c r="H32" i="3" s="1"/>
  <c r="G31" i="3"/>
  <c r="G32" i="3" s="1"/>
  <c r="F31" i="3"/>
  <c r="F32" i="3" s="1"/>
  <c r="E31" i="3"/>
  <c r="E32" i="3" s="1"/>
  <c r="D31" i="3"/>
  <c r="D32" i="3" s="1"/>
  <c r="C31" i="3"/>
  <c r="C32" i="3" s="1"/>
  <c r="B31" i="3"/>
  <c r="H28" i="3"/>
  <c r="G28" i="3"/>
  <c r="F28" i="3"/>
  <c r="E28" i="3"/>
  <c r="D28" i="3"/>
  <c r="C28" i="3"/>
  <c r="B28" i="3"/>
  <c r="J27" i="3"/>
  <c r="J26" i="3"/>
  <c r="J28" i="3" s="1"/>
  <c r="H25" i="3"/>
  <c r="G25" i="3"/>
  <c r="F25" i="3"/>
  <c r="E25" i="3"/>
  <c r="D25" i="3"/>
  <c r="C25" i="3"/>
  <c r="B25" i="3"/>
  <c r="J24" i="3"/>
  <c r="J23" i="3"/>
  <c r="J25" i="3" s="1"/>
  <c r="H22" i="3"/>
  <c r="G22" i="3"/>
  <c r="F22" i="3"/>
  <c r="E22" i="3"/>
  <c r="D22" i="3"/>
  <c r="C22" i="3"/>
  <c r="B22" i="3"/>
  <c r="J21" i="3"/>
  <c r="J20" i="3"/>
  <c r="J22" i="3" s="1"/>
  <c r="H19" i="3"/>
  <c r="G19" i="3"/>
  <c r="F19" i="3"/>
  <c r="E19" i="3"/>
  <c r="D19" i="3"/>
  <c r="C19" i="3"/>
  <c r="B19" i="3"/>
  <c r="J18" i="3"/>
  <c r="J17" i="3"/>
  <c r="J19" i="3" s="1"/>
  <c r="H16" i="3"/>
  <c r="G16" i="3"/>
  <c r="F16" i="3"/>
  <c r="E16" i="3"/>
  <c r="D16" i="3"/>
  <c r="C16" i="3"/>
  <c r="B16" i="3"/>
  <c r="J15" i="3"/>
  <c r="J16" i="3" s="1"/>
  <c r="J14" i="3"/>
  <c r="H13" i="3"/>
  <c r="G13" i="3"/>
  <c r="F13" i="3"/>
  <c r="E13" i="3"/>
  <c r="D13" i="3"/>
  <c r="C13" i="3"/>
  <c r="B13" i="3"/>
  <c r="J12" i="3"/>
  <c r="J30" i="3" s="1"/>
  <c r="J11" i="3"/>
  <c r="J29" i="3" s="1"/>
  <c r="B9" i="3"/>
  <c r="B32" i="3" s="1"/>
  <c r="J8" i="3"/>
  <c r="J7" i="3"/>
  <c r="J6" i="3"/>
  <c r="J9" i="3" s="1"/>
  <c r="J5" i="3"/>
  <c r="A1" i="2"/>
  <c r="A3" i="1"/>
  <c r="G8" i="6" l="1"/>
  <c r="E6" i="6"/>
  <c r="E11" i="6"/>
  <c r="E12" i="5"/>
  <c r="G12" i="5" s="1"/>
  <c r="I12" i="5" s="1"/>
  <c r="E6" i="5"/>
  <c r="D12" i="5"/>
  <c r="D11" i="5"/>
  <c r="E11" i="5" s="1"/>
  <c r="G11" i="5" s="1"/>
  <c r="I11" i="5" s="1"/>
  <c r="D10" i="5"/>
  <c r="E10" i="5" s="1"/>
  <c r="G10" i="5" s="1"/>
  <c r="I10" i="5" s="1"/>
  <c r="D9" i="5"/>
  <c r="E9" i="5" s="1"/>
  <c r="G9" i="5" s="1"/>
  <c r="I9" i="5" s="1"/>
  <c r="E12" i="4"/>
  <c r="C12" i="4"/>
  <c r="C7" i="4"/>
  <c r="E7" i="4" s="1"/>
  <c r="C10" i="4"/>
  <c r="E10" i="4" s="1"/>
  <c r="J13" i="3"/>
  <c r="J31" i="3" s="1"/>
  <c r="J33" i="3" s="1"/>
  <c r="B33" i="3"/>
  <c r="C33" i="3"/>
  <c r="D33" i="3"/>
  <c r="E33" i="3"/>
  <c r="F33" i="3"/>
  <c r="G33" i="3"/>
  <c r="H33" i="3"/>
  <c r="G6" i="5" l="1"/>
  <c r="E13" i="5"/>
  <c r="I6" i="5" l="1"/>
  <c r="I13" i="5" s="1"/>
  <c r="G13" i="5"/>
</calcChain>
</file>

<file path=xl/sharedStrings.xml><?xml version="1.0" encoding="utf-8"?>
<sst xmlns="http://schemas.openxmlformats.org/spreadsheetml/2006/main" count="142" uniqueCount="93">
  <si>
    <t>Year for RSAM Study</t>
  </si>
  <si>
    <t>Industry Cost of Capital--EP 558</t>
  </si>
  <si>
    <t>Federal Tax Rate</t>
  </si>
  <si>
    <t>Average State Tax Rates--EP 682</t>
  </si>
  <si>
    <t>GTC</t>
  </si>
  <si>
    <t>SOO</t>
  </si>
  <si>
    <t>KCS</t>
  </si>
  <si>
    <t>NS</t>
  </si>
  <si>
    <t>CSXT</t>
  </si>
  <si>
    <t>BNSF</t>
  </si>
  <si>
    <t>UP</t>
  </si>
  <si>
    <t>Class I Costs and Revenues by RVC Category</t>
  </si>
  <si>
    <t>RR_Num</t>
  </si>
  <si>
    <t>RR_Alpha</t>
  </si>
  <si>
    <t>RVC_LT_100_VC</t>
  </si>
  <si>
    <t>RVC_LT_180_VC</t>
  </si>
  <si>
    <t>RVC_GE_180_VC</t>
  </si>
  <si>
    <t>Total_VC</t>
  </si>
  <si>
    <t>RVC_LT_100_Rev</t>
  </si>
  <si>
    <t>RVC_LT_180_Rev</t>
  </si>
  <si>
    <t>RVC_GE_180_Rev</t>
  </si>
  <si>
    <t>Total_Rev</t>
  </si>
  <si>
    <t xml:space="preserve"> Total </t>
  </si>
  <si>
    <t>Source:</t>
  </si>
  <si>
    <t xml:space="preserve">     2022 Carload Waybill Sample.</t>
  </si>
  <si>
    <t>Note that RRNum 103 is CN/GTC and 105 is CP/SOO</t>
  </si>
  <si>
    <t>REVENUE ADEQUACY WORKPAPERS  -  SCHEDULE 250  PART A</t>
  </si>
  <si>
    <t>Page 1</t>
  </si>
  <si>
    <t>Railroad</t>
  </si>
  <si>
    <t>CSX</t>
  </si>
  <si>
    <t>TOTAL</t>
  </si>
  <si>
    <t>Combined/Consolidated NROI</t>
  </si>
  <si>
    <t>+ Interest From Working Cap. Cash</t>
  </si>
  <si>
    <t>+Inc Tax Non-rail</t>
  </si>
  <si>
    <t>+Net gain transfers</t>
  </si>
  <si>
    <t>** Adjusted NROI **</t>
  </si>
  <si>
    <t>Comb Net Inv R&amp;E End</t>
  </si>
  <si>
    <t>Comb Net Inv R&amp;E Start</t>
  </si>
  <si>
    <t>Comb Net Inv R&amp;E Av</t>
  </si>
  <si>
    <t>IDC End</t>
  </si>
  <si>
    <t>IDC Start</t>
  </si>
  <si>
    <t>IDC Av</t>
  </si>
  <si>
    <t>OE Inv End</t>
  </si>
  <si>
    <t>OE Inv Start</t>
  </si>
  <si>
    <t>OE Inv Av</t>
  </si>
  <si>
    <t>Net Rail Rel Ass. End</t>
  </si>
  <si>
    <t>Net Rail Rel Ass. Start</t>
  </si>
  <si>
    <t>Net Rail Rel Ass. Av</t>
  </si>
  <si>
    <t>Work Cap End</t>
  </si>
  <si>
    <t>Work Cap Start</t>
  </si>
  <si>
    <t>Work Cap Av</t>
  </si>
  <si>
    <t>Acc Def Tax End</t>
  </si>
  <si>
    <t>Acc Def Tax Start</t>
  </si>
  <si>
    <t>Acc Def Tax Av</t>
  </si>
  <si>
    <t>Tax Adj Net Inv Base End</t>
  </si>
  <si>
    <t>Tax Adj Net Inv Base Start</t>
  </si>
  <si>
    <t>* Tax Adj Net Inv Base *</t>
  </si>
  <si>
    <t>TAX ADJUSTED RETURN ON INVESTMENT</t>
  </si>
  <si>
    <t xml:space="preserve"> TAX ADJUSTED ROI</t>
  </si>
  <si>
    <t>Calculation of Marginal Tax Rates</t>
  </si>
  <si>
    <t>(A)</t>
  </si>
  <si>
    <t>(B)</t>
  </si>
  <si>
    <t>(C)</t>
  </si>
  <si>
    <t>(D)</t>
  </si>
  <si>
    <t>(E)=(D)+(1-(D))*(C)</t>
  </si>
  <si>
    <t>RR No.</t>
  </si>
  <si>
    <t>Federal
Tax Rate</t>
  </si>
  <si>
    <t>Average State Tax Rate</t>
  </si>
  <si>
    <t>Marginal
Tax Rate</t>
  </si>
  <si>
    <t>CN/GTC</t>
  </si>
  <si>
    <t>CP/SOO</t>
  </si>
  <si>
    <t>Source(s):</t>
  </si>
  <si>
    <t>Calculation of Shortfall (Surplus)</t>
  </si>
  <si>
    <t>(E)=(C)*(D)</t>
  </si>
  <si>
    <t>(F)</t>
  </si>
  <si>
    <t>(G)=(E)-(F)</t>
  </si>
  <si>
    <t>(H)</t>
  </si>
  <si>
    <t>(I)=(G)/(1-(H))</t>
  </si>
  <si>
    <t>Tax Adj
Net Inv Base</t>
  </si>
  <si>
    <t>Industry
Cost of Capital</t>
  </si>
  <si>
    <t>Required
NROI</t>
  </si>
  <si>
    <t>Adjusted
NROI</t>
  </si>
  <si>
    <t>Shortfall
(Surplus)</t>
  </si>
  <si>
    <t>Tax-Adjusted
Shortfall (Surplus)</t>
  </si>
  <si>
    <t>Total</t>
  </si>
  <si>
    <t>(E)=(C)/(D)</t>
  </si>
  <si>
    <t>(G)=[(C)+(F)]/(D)</t>
  </si>
  <si>
    <t>RVC GE 180</t>
  </si>
  <si>
    <t>Revenue</t>
  </si>
  <si>
    <t>Variable Costs</t>
  </si>
  <si>
    <t>RVC&gt;180</t>
  </si>
  <si>
    <t>Tax-Adj Shortfall (Surplus)</t>
  </si>
  <si>
    <t>RSAM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</si>
</sst>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name val="MS Sans Serif"/>
      <family val="2"/>
    </font>
    <font>
      <b/>
      <sz val="12"/>
      <name val="MS Sans Serif"/>
      <family val="2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2"/>
      <name val="Times New Roman"/>
      <family val="1"/>
    </font>
    <font>
      <sz val="8.5"/>
      <name val="MS Sans Serif"/>
      <family val="2"/>
    </font>
    <font>
      <sz val="10"/>
      <color rgb="FFFF0000"/>
      <name val="MS Sans Serif"/>
      <family val="2"/>
    </font>
    <font>
      <sz val="10"/>
      <color theme="4"/>
      <name val="MS Sans Serif"/>
      <family val="2"/>
    </font>
    <font>
      <sz val="10"/>
      <color theme="4"/>
      <name val="MS Sans Serif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theme="0"/>
      </patternFill>
    </fill>
    <fill>
      <patternFill patternType="solid">
        <fgColor indexed="8"/>
      </patternFill>
    </fill>
    <fill>
      <patternFill patternType="solid">
        <fgColor theme="1"/>
        <bgColor indexed="64"/>
      </patternFill>
    </fill>
    <fill>
      <patternFill patternType="gray0625">
        <fgColor indexed="13"/>
        <bgColor indexed="13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4" fillId="0" borderId="0"/>
  </cellStyleXfs>
  <cellXfs count="124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0" fontId="0" fillId="0" borderId="0" xfId="0" applyNumberFormat="1"/>
    <xf numFmtId="10" fontId="3" fillId="0" borderId="7" xfId="0" applyNumberFormat="1" applyFont="1" applyBorder="1" applyAlignment="1">
      <alignment horizontal="center"/>
    </xf>
    <xf numFmtId="0" fontId="0" fillId="0" borderId="7" xfId="0" applyBorder="1"/>
    <xf numFmtId="0" fontId="4" fillId="0" borderId="6" xfId="0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0" fontId="3" fillId="0" borderId="8" xfId="0" quotePrefix="1" applyFont="1" applyBorder="1" applyAlignment="1">
      <alignment horizontal="left"/>
    </xf>
    <xf numFmtId="10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7" fillId="3" borderId="10" xfId="2" applyFont="1" applyFill="1" applyBorder="1" applyAlignment="1">
      <alignment horizontal="center"/>
    </xf>
    <xf numFmtId="0" fontId="8" fillId="0" borderId="11" xfId="2" applyFont="1" applyBorder="1" applyAlignment="1">
      <alignment wrapText="1"/>
    </xf>
    <xf numFmtId="3" fontId="8" fillId="0" borderId="11" xfId="2" applyNumberFormat="1" applyFont="1" applyBorder="1" applyAlignment="1">
      <alignment horizontal="right" wrapText="1"/>
    </xf>
    <xf numFmtId="0" fontId="8" fillId="0" borderId="12" xfId="2" applyFont="1" applyBorder="1" applyAlignment="1">
      <alignment wrapText="1"/>
    </xf>
    <xf numFmtId="3" fontId="8" fillId="0" borderId="12" xfId="2" applyNumberFormat="1" applyFont="1" applyBorder="1" applyAlignment="1">
      <alignment horizontal="right" wrapText="1"/>
    </xf>
    <xf numFmtId="0" fontId="8" fillId="0" borderId="0" xfId="2" applyFont="1" applyAlignment="1">
      <alignment wrapText="1"/>
    </xf>
    <xf numFmtId="3" fontId="8" fillId="0" borderId="0" xfId="2" applyNumberFormat="1" applyFont="1" applyAlignment="1">
      <alignment horizontal="right" wrapText="1"/>
    </xf>
    <xf numFmtId="0" fontId="7" fillId="0" borderId="0" xfId="3" applyFont="1" applyAlignment="1">
      <alignment wrapText="1"/>
    </xf>
    <xf numFmtId="3" fontId="7" fillId="0" borderId="0" xfId="3" applyNumberFormat="1" applyFont="1" applyAlignment="1">
      <alignment horizontal="right" wrapText="1"/>
    </xf>
    <xf numFmtId="42" fontId="10" fillId="0" borderId="13" xfId="0" quotePrefix="1" applyNumberFormat="1" applyFont="1" applyBorder="1"/>
    <xf numFmtId="6" fontId="10" fillId="0" borderId="13" xfId="0" quotePrefix="1" applyNumberFormat="1" applyFont="1" applyBorder="1"/>
    <xf numFmtId="0" fontId="11" fillId="0" borderId="0" xfId="0" applyFont="1"/>
    <xf numFmtId="164" fontId="0" fillId="0" borderId="11" xfId="0" quotePrefix="1" applyNumberFormat="1" applyBorder="1"/>
    <xf numFmtId="42" fontId="0" fillId="0" borderId="11" xfId="0" quotePrefix="1" applyNumberFormat="1" applyBorder="1"/>
    <xf numFmtId="164" fontId="0" fillId="0" borderId="0" xfId="0" applyNumberFormat="1"/>
    <xf numFmtId="165" fontId="0" fillId="0" borderId="0" xfId="1" applyNumberFormat="1" applyFont="1"/>
    <xf numFmtId="0" fontId="12" fillId="0" borderId="0" xfId="0" applyFont="1"/>
    <xf numFmtId="0" fontId="13" fillId="0" borderId="0" xfId="0" applyFont="1"/>
    <xf numFmtId="0" fontId="13" fillId="0" borderId="0" xfId="4" applyFont="1"/>
    <xf numFmtId="0" fontId="14" fillId="0" borderId="0" xfId="4"/>
    <xf numFmtId="0" fontId="15" fillId="0" borderId="0" xfId="0" applyFont="1"/>
    <xf numFmtId="0" fontId="14" fillId="0" borderId="0" xfId="0" applyFont="1"/>
    <xf numFmtId="0" fontId="15" fillId="0" borderId="14" xfId="0" applyFont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0" borderId="18" xfId="0" applyFont="1" applyBorder="1"/>
    <xf numFmtId="37" fontId="14" fillId="0" borderId="15" xfId="0" applyNumberFormat="1" applyFont="1" applyBorder="1"/>
    <xf numFmtId="37" fontId="14" fillId="0" borderId="14" xfId="0" applyNumberFormat="1" applyFont="1" applyBorder="1"/>
    <xf numFmtId="0" fontId="14" fillId="0" borderId="19" xfId="4" applyBorder="1"/>
    <xf numFmtId="0" fontId="14" fillId="0" borderId="20" xfId="0" applyFont="1" applyBorder="1"/>
    <xf numFmtId="37" fontId="14" fillId="0" borderId="17" xfId="0" applyNumberFormat="1" applyFont="1" applyBorder="1"/>
    <xf numFmtId="37" fontId="14" fillId="0" borderId="16" xfId="0" applyNumberFormat="1" applyFont="1" applyBorder="1"/>
    <xf numFmtId="0" fontId="14" fillId="0" borderId="21" xfId="0" applyFont="1" applyBorder="1"/>
    <xf numFmtId="37" fontId="14" fillId="0" borderId="22" xfId="0" applyNumberFormat="1" applyFont="1" applyBorder="1"/>
    <xf numFmtId="37" fontId="14" fillId="0" borderId="23" xfId="0" applyNumberFormat="1" applyFont="1" applyBorder="1"/>
    <xf numFmtId="0" fontId="15" fillId="0" borderId="22" xfId="0" applyFont="1" applyBorder="1"/>
    <xf numFmtId="37" fontId="15" fillId="0" borderId="22" xfId="0" applyNumberFormat="1" applyFont="1" applyBorder="1"/>
    <xf numFmtId="37" fontId="15" fillId="0" borderId="24" xfId="0" applyNumberFormat="1" applyFont="1" applyBorder="1"/>
    <xf numFmtId="37" fontId="15" fillId="0" borderId="25" xfId="0" applyNumberFormat="1" applyFont="1" applyBorder="1"/>
    <xf numFmtId="37" fontId="15" fillId="0" borderId="23" xfId="0" applyNumberFormat="1" applyFont="1" applyBorder="1"/>
    <xf numFmtId="37" fontId="15" fillId="0" borderId="10" xfId="0" applyNumberFormat="1" applyFont="1" applyBorder="1"/>
    <xf numFmtId="0" fontId="15" fillId="5" borderId="22" xfId="0" applyFont="1" applyFill="1" applyBorder="1"/>
    <xf numFmtId="37" fontId="15" fillId="6" borderId="22" xfId="0" applyNumberFormat="1" applyFont="1" applyFill="1" applyBorder="1"/>
    <xf numFmtId="37" fontId="15" fillId="6" borderId="23" xfId="0" applyNumberFormat="1" applyFont="1" applyFill="1" applyBorder="1"/>
    <xf numFmtId="37" fontId="15" fillId="5" borderId="23" xfId="0" applyNumberFormat="1" applyFont="1" applyFill="1" applyBorder="1"/>
    <xf numFmtId="37" fontId="15" fillId="5" borderId="22" xfId="0" applyNumberFormat="1" applyFont="1" applyFill="1" applyBorder="1"/>
    <xf numFmtId="0" fontId="14" fillId="0" borderId="17" xfId="0" applyFont="1" applyBorder="1"/>
    <xf numFmtId="37" fontId="14" fillId="0" borderId="26" xfId="0" applyNumberFormat="1" applyFont="1" applyBorder="1"/>
    <xf numFmtId="37" fontId="14" fillId="0" borderId="27" xfId="0" applyNumberFormat="1" applyFont="1" applyBorder="1"/>
    <xf numFmtId="37" fontId="14" fillId="0" borderId="0" xfId="0" applyNumberFormat="1" applyFont="1"/>
    <xf numFmtId="37" fontId="14" fillId="0" borderId="28" xfId="0" applyNumberFormat="1" applyFont="1" applyBorder="1"/>
    <xf numFmtId="0" fontId="15" fillId="0" borderId="17" xfId="0" applyFont="1" applyBorder="1"/>
    <xf numFmtId="0" fontId="15" fillId="0" borderId="21" xfId="0" applyFont="1" applyBorder="1"/>
    <xf numFmtId="37" fontId="14" fillId="0" borderId="29" xfId="0" applyNumberFormat="1" applyFont="1" applyBorder="1"/>
    <xf numFmtId="37" fontId="14" fillId="0" borderId="30" xfId="0" applyNumberFormat="1" applyFont="1" applyBorder="1"/>
    <xf numFmtId="37" fontId="15" fillId="0" borderId="17" xfId="0" applyNumberFormat="1" applyFont="1" applyBorder="1"/>
    <xf numFmtId="0" fontId="15" fillId="7" borderId="17" xfId="0" applyFont="1" applyFill="1" applyBorder="1"/>
    <xf numFmtId="0" fontId="15" fillId="8" borderId="29" xfId="0" applyFont="1" applyFill="1" applyBorder="1"/>
    <xf numFmtId="0" fontId="15" fillId="8" borderId="0" xfId="0" applyFont="1" applyFill="1"/>
    <xf numFmtId="0" fontId="15" fillId="8" borderId="16" xfId="0" applyFont="1" applyFill="1" applyBorder="1"/>
    <xf numFmtId="0" fontId="15" fillId="8" borderId="17" xfId="0" applyFont="1" applyFill="1" applyBorder="1"/>
    <xf numFmtId="0" fontId="15" fillId="7" borderId="16" xfId="0" applyFont="1" applyFill="1" applyBorder="1"/>
    <xf numFmtId="10" fontId="18" fillId="9" borderId="22" xfId="0" applyNumberFormat="1" applyFont="1" applyFill="1" applyBorder="1"/>
    <xf numFmtId="10" fontId="18" fillId="0" borderId="24" xfId="0" applyNumberFormat="1" applyFont="1" applyBorder="1"/>
    <xf numFmtId="10" fontId="18" fillId="0" borderId="23" xfId="0" applyNumberFormat="1" applyFont="1" applyBorder="1"/>
    <xf numFmtId="10" fontId="13" fillId="0" borderId="0" xfId="4" applyNumberFormat="1" applyFont="1"/>
    <xf numFmtId="0" fontId="14" fillId="10" borderId="0" xfId="4" applyFill="1"/>
    <xf numFmtId="10" fontId="19" fillId="0" borderId="0" xfId="1" applyNumberFormat="1" applyFont="1"/>
    <xf numFmtId="0" fontId="19" fillId="0" borderId="0" xfId="4" applyFont="1"/>
    <xf numFmtId="0" fontId="20" fillId="0" borderId="0" xfId="0" applyFont="1" applyAlignment="1">
      <alignment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quotePrefix="1" applyFont="1"/>
    <xf numFmtId="0" fontId="2" fillId="0" borderId="31" xfId="0" applyFont="1" applyBorder="1" applyAlignment="1">
      <alignment horizontal="center"/>
    </xf>
    <xf numFmtId="0" fontId="2" fillId="0" borderId="31" xfId="0" quotePrefix="1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3" fillId="0" borderId="32" xfId="0" quotePrefix="1" applyFont="1" applyBorder="1" applyAlignment="1">
      <alignment horizontal="center"/>
    </xf>
    <xf numFmtId="42" fontId="3" fillId="0" borderId="32" xfId="0" applyNumberFormat="1" applyFont="1" applyBorder="1"/>
    <xf numFmtId="10" fontId="3" fillId="0" borderId="32" xfId="0" applyNumberFormat="1" applyFont="1" applyBorder="1" applyAlignment="1">
      <alignment horizontal="center"/>
    </xf>
    <xf numFmtId="42" fontId="0" fillId="0" borderId="0" xfId="0" applyNumberFormat="1"/>
    <xf numFmtId="0" fontId="3" fillId="0" borderId="11" xfId="0" quotePrefix="1" applyFont="1" applyBorder="1" applyAlignment="1">
      <alignment horizontal="center"/>
    </xf>
    <xf numFmtId="42" fontId="3" fillId="0" borderId="11" xfId="0" applyNumberFormat="1" applyFont="1" applyBorder="1"/>
    <xf numFmtId="1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165" fontId="3" fillId="0" borderId="11" xfId="0" applyNumberFormat="1" applyFont="1" applyBorder="1" applyAlignment="1">
      <alignment horizontal="center"/>
    </xf>
    <xf numFmtId="0" fontId="22" fillId="0" borderId="0" xfId="0" applyFont="1"/>
    <xf numFmtId="0" fontId="2" fillId="0" borderId="33" xfId="0" applyFont="1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42" fontId="3" fillId="0" borderId="35" xfId="0" applyNumberFormat="1" applyFont="1" applyBorder="1"/>
    <xf numFmtId="9" fontId="3" fillId="0" borderId="32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23" fillId="0" borderId="0" xfId="0" applyFont="1"/>
    <xf numFmtId="9" fontId="0" fillId="0" borderId="0" xfId="1" applyFont="1"/>
    <xf numFmtId="0" fontId="24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5">
    <cellStyle name="Normal" xfId="0" builtinId="0"/>
    <cellStyle name="Normal_rad08tab1" xfId="4" xr:uid="{056041F4-0F92-4E80-8552-A13A47A791CA}"/>
    <cellStyle name="Normal_RSAM_2016_Class_I_Costs_and_Rev" xfId="3" xr:uid="{50F47FE7-9DC2-4447-A953-32B94D216943}"/>
    <cellStyle name="Normal_RSAM_2016_Class_I_Costs_and_Rev 2" xfId="2" xr:uid="{418222F4-3B03-4720-B08C-3F78D8A38B6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WIP-HC(WaybillData)\WIP\Routine%20Study%20Prototypes\RSAM%20and%20All%20Stratification\RSAM\2022\RSAM%20Computation_2022_Locked%20-%20Copy.xlsx" TargetMode="External"/><Relationship Id="rId1" Type="http://schemas.openxmlformats.org/officeDocument/2006/relationships/externalLinkPath" Target="RSAM%20Computation_2022_Locked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s from Decisions"/>
      <sheetName val="RSAM_Class_I_Costs_and_Rev"/>
      <sheetName val="R-1 Schedule 250 Part A"/>
      <sheetName val="Tax Rates"/>
      <sheetName val="Shortfall (Surplus)"/>
      <sheetName val="RSAM"/>
    </sheetNames>
    <sheetDataSet>
      <sheetData sheetId="0">
        <row r="1">
          <cell r="B1">
            <v>2022</v>
          </cell>
        </row>
        <row r="5">
          <cell r="B5">
            <v>0.10580000000000001</v>
          </cell>
        </row>
        <row r="7">
          <cell r="B7">
            <v>0.21</v>
          </cell>
        </row>
        <row r="10">
          <cell r="B10">
            <v>7.9060000000000005E-2</v>
          </cell>
        </row>
        <row r="11">
          <cell r="B11">
            <v>7.8020000000000006E-2</v>
          </cell>
        </row>
        <row r="12">
          <cell r="B12">
            <v>4.897E-2</v>
          </cell>
        </row>
        <row r="13">
          <cell r="B13">
            <v>5.62E-2</v>
          </cell>
        </row>
        <row r="14">
          <cell r="B14">
            <v>5.2420000000000001E-2</v>
          </cell>
        </row>
        <row r="15">
          <cell r="B15">
            <v>4.9599999999999998E-2</v>
          </cell>
        </row>
        <row r="16">
          <cell r="B16">
            <v>5.3370000000000001E-2</v>
          </cell>
        </row>
      </sheetData>
      <sheetData sheetId="1">
        <row r="5">
          <cell r="A5">
            <v>103</v>
          </cell>
          <cell r="B5" t="str">
            <v>CNUS</v>
          </cell>
          <cell r="C5">
            <v>724464300</v>
          </cell>
          <cell r="D5">
            <v>1099051777</v>
          </cell>
          <cell r="E5">
            <v>957802548</v>
          </cell>
          <cell r="F5">
            <v>2781318625</v>
          </cell>
          <cell r="G5">
            <v>208606150</v>
          </cell>
          <cell r="H5">
            <v>1519658635</v>
          </cell>
          <cell r="I5">
            <v>2755858087</v>
          </cell>
        </row>
        <row r="6">
          <cell r="A6">
            <v>105</v>
          </cell>
          <cell r="B6" t="str">
            <v>CPUS</v>
          </cell>
          <cell r="C6">
            <v>126313872</v>
          </cell>
          <cell r="D6">
            <v>476241845</v>
          </cell>
          <cell r="E6">
            <v>446313711</v>
          </cell>
          <cell r="F6">
            <v>1048869428</v>
          </cell>
          <cell r="G6">
            <v>101296404</v>
          </cell>
          <cell r="H6">
            <v>690708399</v>
          </cell>
          <cell r="I6">
            <v>1111311796</v>
          </cell>
        </row>
        <row r="7">
          <cell r="A7">
            <v>400</v>
          </cell>
          <cell r="B7" t="str">
            <v>KCS</v>
          </cell>
          <cell r="C7">
            <v>525948629</v>
          </cell>
          <cell r="D7">
            <v>431508504</v>
          </cell>
          <cell r="E7">
            <v>210230393</v>
          </cell>
          <cell r="F7">
            <v>1167687526</v>
          </cell>
          <cell r="G7">
            <v>291393138</v>
          </cell>
          <cell r="H7">
            <v>574037582</v>
          </cell>
          <cell r="I7">
            <v>512996875</v>
          </cell>
        </row>
        <row r="8">
          <cell r="A8">
            <v>555</v>
          </cell>
          <cell r="B8" t="str">
            <v>NS</v>
          </cell>
          <cell r="C8">
            <v>1089407632</v>
          </cell>
          <cell r="D8">
            <v>3887299534</v>
          </cell>
          <cell r="E8">
            <v>2206625021</v>
          </cell>
          <cell r="F8">
            <v>7183332187</v>
          </cell>
          <cell r="G8">
            <v>831463203</v>
          </cell>
          <cell r="H8">
            <v>5335780842</v>
          </cell>
          <cell r="I8">
            <v>5610313293</v>
          </cell>
        </row>
        <row r="9">
          <cell r="A9">
            <v>712</v>
          </cell>
          <cell r="B9" t="str">
            <v>CSXT</v>
          </cell>
          <cell r="C9">
            <v>1622727893</v>
          </cell>
          <cell r="D9">
            <v>3400101264</v>
          </cell>
          <cell r="E9">
            <v>2113669963</v>
          </cell>
          <cell r="F9">
            <v>7136499120</v>
          </cell>
          <cell r="G9">
            <v>1166646123</v>
          </cell>
          <cell r="H9">
            <v>4636902607</v>
          </cell>
          <cell r="I9">
            <v>5939304739</v>
          </cell>
        </row>
        <row r="10">
          <cell r="A10">
            <v>777</v>
          </cell>
          <cell r="B10" t="str">
            <v>BNSF</v>
          </cell>
          <cell r="C10">
            <v>3189065568</v>
          </cell>
          <cell r="D10">
            <v>9814019290</v>
          </cell>
          <cell r="E10">
            <v>3552969304</v>
          </cell>
          <cell r="F10">
            <v>16556054162</v>
          </cell>
          <cell r="G10">
            <v>2615975037</v>
          </cell>
          <cell r="H10">
            <v>13305088099</v>
          </cell>
          <cell r="I10">
            <v>8022327885</v>
          </cell>
        </row>
        <row r="11">
          <cell r="A11">
            <v>802</v>
          </cell>
          <cell r="B11" t="str">
            <v>UP</v>
          </cell>
          <cell r="C11">
            <v>1178266687</v>
          </cell>
          <cell r="D11">
            <v>5821982691</v>
          </cell>
          <cell r="E11">
            <v>5715350801</v>
          </cell>
          <cell r="F11">
            <v>12715600179</v>
          </cell>
          <cell r="G11">
            <v>917151230</v>
          </cell>
          <cell r="H11">
            <v>8496122313</v>
          </cell>
          <cell r="I11">
            <v>14142898889</v>
          </cell>
        </row>
      </sheetData>
      <sheetData sheetId="2">
        <row r="9">
          <cell r="B9">
            <v>6570830</v>
          </cell>
          <cell r="C9">
            <v>3977109.1135618249</v>
          </cell>
          <cell r="D9">
            <v>1075178</v>
          </cell>
          <cell r="E9">
            <v>444828</v>
          </cell>
          <cell r="F9">
            <v>3549130</v>
          </cell>
          <cell r="G9">
            <v>526049</v>
          </cell>
          <cell r="H9">
            <v>7522691</v>
          </cell>
        </row>
        <row r="31">
          <cell r="B31">
            <v>50962224</v>
          </cell>
          <cell r="C31">
            <v>24589607</v>
          </cell>
          <cell r="D31">
            <v>11957802.5</v>
          </cell>
          <cell r="E31">
            <v>4840865</v>
          </cell>
          <cell r="F31">
            <v>24399676</v>
          </cell>
          <cell r="G31">
            <v>3952030</v>
          </cell>
          <cell r="H31">
            <v>41885153.5</v>
          </cell>
        </row>
      </sheetData>
      <sheetData sheetId="3">
        <row r="6">
          <cell r="E6">
            <v>0.27245740000000002</v>
          </cell>
        </row>
        <row r="7">
          <cell r="E7">
            <v>0.27163579999999998</v>
          </cell>
        </row>
        <row r="8">
          <cell r="E8">
            <v>0.24868630000000003</v>
          </cell>
        </row>
        <row r="9">
          <cell r="E9">
            <v>0.25439800000000001</v>
          </cell>
        </row>
        <row r="10">
          <cell r="E10">
            <v>0.25141180000000002</v>
          </cell>
        </row>
        <row r="11">
          <cell r="E11">
            <v>0.24918399999999999</v>
          </cell>
        </row>
        <row r="12">
          <cell r="E12">
            <v>0.25216229999999995</v>
          </cell>
        </row>
      </sheetData>
      <sheetData sheetId="4">
        <row r="6">
          <cell r="A6">
            <v>103</v>
          </cell>
          <cell r="B6" t="str">
            <v>CN/GTC</v>
          </cell>
          <cell r="C6">
            <v>11957802.5</v>
          </cell>
          <cell r="D6">
            <v>0.10580000000000001</v>
          </cell>
          <cell r="E6">
            <v>1265135.5045</v>
          </cell>
          <cell r="F6">
            <v>1075178</v>
          </cell>
          <cell r="G6">
            <v>189957.50450000004</v>
          </cell>
          <cell r="H6">
            <v>0.27245740000000002</v>
          </cell>
          <cell r="I6">
            <v>261094.68297801397</v>
          </cell>
        </row>
        <row r="7">
          <cell r="A7">
            <v>105</v>
          </cell>
          <cell r="B7" t="str">
            <v>CP/SOO</v>
          </cell>
          <cell r="C7">
            <v>3952030</v>
          </cell>
          <cell r="D7">
            <v>0.10580000000000001</v>
          </cell>
          <cell r="E7">
            <v>418124.77400000003</v>
          </cell>
          <cell r="F7">
            <v>526049</v>
          </cell>
          <cell r="G7">
            <v>-107924.22599999997</v>
          </cell>
          <cell r="H7">
            <v>0.27163579999999998</v>
          </cell>
          <cell r="I7">
            <v>-148173.4357619443</v>
          </cell>
        </row>
        <row r="8">
          <cell r="A8">
            <v>400</v>
          </cell>
          <cell r="B8" t="str">
            <v>KCS</v>
          </cell>
          <cell r="C8">
            <v>4840865</v>
          </cell>
          <cell r="D8">
            <v>0.10580000000000001</v>
          </cell>
          <cell r="E8">
            <v>512163.51700000005</v>
          </cell>
          <cell r="F8">
            <v>444828</v>
          </cell>
          <cell r="G8">
            <v>67335.517000000051</v>
          </cell>
          <cell r="H8">
            <v>0.24868630000000003</v>
          </cell>
          <cell r="I8">
            <v>89623.704452614198</v>
          </cell>
        </row>
        <row r="9">
          <cell r="A9">
            <v>555</v>
          </cell>
          <cell r="B9" t="str">
            <v>NS</v>
          </cell>
          <cell r="C9">
            <v>24399676</v>
          </cell>
          <cell r="D9">
            <v>0.10580000000000001</v>
          </cell>
          <cell r="E9">
            <v>2581485.7208000002</v>
          </cell>
          <cell r="F9">
            <v>3549130</v>
          </cell>
          <cell r="G9">
            <v>-967644.27919999976</v>
          </cell>
          <cell r="H9">
            <v>0.25439800000000001</v>
          </cell>
          <cell r="I9">
            <v>-1297802.6872245511</v>
          </cell>
        </row>
        <row r="10">
          <cell r="A10">
            <v>712</v>
          </cell>
          <cell r="B10" t="str">
            <v>CSXT</v>
          </cell>
          <cell r="C10">
            <v>24589607</v>
          </cell>
          <cell r="D10">
            <v>0.10580000000000001</v>
          </cell>
          <cell r="E10">
            <v>2601580.4206000003</v>
          </cell>
          <cell r="F10">
            <v>3977109.1135618249</v>
          </cell>
          <cell r="G10">
            <v>-1375528.6929618246</v>
          </cell>
          <cell r="H10">
            <v>0.25141180000000002</v>
          </cell>
          <cell r="I10">
            <v>-1837497.1619400689</v>
          </cell>
        </row>
        <row r="11">
          <cell r="A11">
            <v>777</v>
          </cell>
          <cell r="B11" t="str">
            <v>BNSF</v>
          </cell>
          <cell r="C11">
            <v>50962224</v>
          </cell>
          <cell r="D11">
            <v>0.10580000000000001</v>
          </cell>
          <cell r="E11">
            <v>5391803.2992000002</v>
          </cell>
          <cell r="F11">
            <v>6570830</v>
          </cell>
          <cell r="G11">
            <v>-1179026.7007999998</v>
          </cell>
          <cell r="H11">
            <v>0.24918399999999999</v>
          </cell>
          <cell r="I11">
            <v>-1570327.085197971</v>
          </cell>
        </row>
        <row r="12">
          <cell r="A12">
            <v>802</v>
          </cell>
          <cell r="B12" t="str">
            <v>UP</v>
          </cell>
          <cell r="C12">
            <v>41885153.5</v>
          </cell>
          <cell r="D12">
            <v>0.10580000000000001</v>
          </cell>
          <cell r="E12">
            <v>4431449.2403000006</v>
          </cell>
          <cell r="F12">
            <v>7522691</v>
          </cell>
          <cell r="G12">
            <v>-3091241.7596999994</v>
          </cell>
          <cell r="H12">
            <v>0.25216229999999995</v>
          </cell>
          <cell r="I12">
            <v>-4133573.0462639141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E2FA-3455-4A04-8288-2C3B4A78FAAF}">
  <dimension ref="A1:B16"/>
  <sheetViews>
    <sheetView tabSelected="1" workbookViewId="0">
      <selection activeCell="E11" sqref="E11"/>
    </sheetView>
  </sheetViews>
  <sheetFormatPr defaultRowHeight="14.5" x14ac:dyDescent="0.35"/>
  <cols>
    <col min="1" max="1" width="36.26953125" customWidth="1"/>
    <col min="2" max="2" width="9.36328125" customWidth="1"/>
  </cols>
  <sheetData>
    <row r="1" spans="1:2" ht="15" thickBot="1" x14ac:dyDescent="0.4">
      <c r="A1" s="1" t="s">
        <v>0</v>
      </c>
      <c r="B1" s="2">
        <v>2022</v>
      </c>
    </row>
    <row r="2" spans="1:2" ht="15" thickBot="1" x14ac:dyDescent="0.4"/>
    <row r="3" spans="1:2" ht="15" thickBot="1" x14ac:dyDescent="0.4">
      <c r="A3" s="122" t="str">
        <f>B1&amp;" Inputs"</f>
        <v>2022 Inputs</v>
      </c>
      <c r="B3" s="123"/>
    </row>
    <row r="4" spans="1:2" x14ac:dyDescent="0.35">
      <c r="A4" s="3"/>
      <c r="B4" s="4"/>
    </row>
    <row r="5" spans="1:2" x14ac:dyDescent="0.35">
      <c r="A5" s="5" t="s">
        <v>1</v>
      </c>
      <c r="B5" s="7">
        <v>0.10580000000000001</v>
      </c>
    </row>
    <row r="6" spans="1:2" x14ac:dyDescent="0.35">
      <c r="A6" s="5"/>
      <c r="B6" s="7"/>
    </row>
    <row r="7" spans="1:2" x14ac:dyDescent="0.35">
      <c r="A7" s="5" t="s">
        <v>2</v>
      </c>
      <c r="B7" s="7">
        <v>0.21</v>
      </c>
    </row>
    <row r="8" spans="1:2" x14ac:dyDescent="0.35">
      <c r="A8" s="5"/>
      <c r="B8" s="8"/>
    </row>
    <row r="9" spans="1:2" x14ac:dyDescent="0.35">
      <c r="A9" s="9" t="s">
        <v>3</v>
      </c>
      <c r="B9" s="8"/>
    </row>
    <row r="10" spans="1:2" x14ac:dyDescent="0.35">
      <c r="A10" s="10" t="s">
        <v>4</v>
      </c>
      <c r="B10" s="7">
        <v>7.9060000000000005E-2</v>
      </c>
    </row>
    <row r="11" spans="1:2" x14ac:dyDescent="0.35">
      <c r="A11" s="10" t="s">
        <v>5</v>
      </c>
      <c r="B11" s="7">
        <v>7.8020000000000006E-2</v>
      </c>
    </row>
    <row r="12" spans="1:2" x14ac:dyDescent="0.35">
      <c r="A12" s="10" t="s">
        <v>6</v>
      </c>
      <c r="B12" s="7">
        <v>4.897E-2</v>
      </c>
    </row>
    <row r="13" spans="1:2" x14ac:dyDescent="0.35">
      <c r="A13" s="10" t="s">
        <v>7</v>
      </c>
      <c r="B13" s="7">
        <v>5.62E-2</v>
      </c>
    </row>
    <row r="14" spans="1:2" x14ac:dyDescent="0.35">
      <c r="A14" s="10" t="s">
        <v>8</v>
      </c>
      <c r="B14" s="7">
        <v>5.2420000000000001E-2</v>
      </c>
    </row>
    <row r="15" spans="1:2" x14ac:dyDescent="0.35">
      <c r="A15" s="10" t="s">
        <v>9</v>
      </c>
      <c r="B15" s="7">
        <v>4.9599999999999998E-2</v>
      </c>
    </row>
    <row r="16" spans="1:2" ht="15" thickBot="1" x14ac:dyDescent="0.4">
      <c r="A16" s="11" t="s">
        <v>10</v>
      </c>
      <c r="B16" s="12">
        <v>5.3370000000000001E-2</v>
      </c>
    </row>
  </sheetData>
  <sheetProtection algorithmName="SHA-512" hashValue="DxyhXSCfqoP5Ik/BRbCV3+1IY1F9uCmd3Dhu5fKrNmvlYV1/OvoLPzee571YI/urYgyl2g1XPrsnZvMF1YvZ1Q==" saltValue="wJlk5czvTXHg9w3J4Qqd2g==" spinCount="100000" sheet="1" objects="1" scenarios="1"/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C2CA-7B61-4C18-9534-B23C55CC3836}">
  <dimension ref="A1:J20"/>
  <sheetViews>
    <sheetView topLeftCell="E1" workbookViewId="0">
      <selection activeCell="J17" sqref="J17"/>
    </sheetView>
  </sheetViews>
  <sheetFormatPr defaultRowHeight="14.5" x14ac:dyDescent="0.35"/>
  <cols>
    <col min="1" max="1" width="10.1796875" bestFit="1" customWidth="1"/>
    <col min="2" max="9" width="20.7265625" customWidth="1"/>
    <col min="10" max="10" width="17.26953125" customWidth="1"/>
  </cols>
  <sheetData>
    <row r="1" spans="1:10" ht="15.5" x14ac:dyDescent="0.35">
      <c r="A1" s="13" t="str">
        <f>'[1]Inputs from Decisions'!B1&amp;" RSAM Calculation"</f>
        <v>2022 RSAM Calculation</v>
      </c>
      <c r="B1" s="14"/>
      <c r="C1" s="14"/>
      <c r="D1" s="14"/>
      <c r="E1" s="14"/>
      <c r="F1" s="14"/>
      <c r="G1" s="14"/>
      <c r="H1" s="14"/>
      <c r="I1" s="14"/>
    </row>
    <row r="2" spans="1:10" x14ac:dyDescent="0.35">
      <c r="A2" s="15" t="s">
        <v>11</v>
      </c>
      <c r="B2" s="14"/>
      <c r="C2" s="14"/>
      <c r="D2" s="14"/>
      <c r="E2" s="14"/>
      <c r="F2" s="14"/>
      <c r="G2" s="14"/>
      <c r="H2" s="14"/>
      <c r="I2" s="14"/>
    </row>
    <row r="4" spans="1:10" x14ac:dyDescent="0.35">
      <c r="A4" s="16" t="s">
        <v>12</v>
      </c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6" t="s">
        <v>19</v>
      </c>
      <c r="I4" s="16" t="s">
        <v>20</v>
      </c>
      <c r="J4" s="16" t="s">
        <v>21</v>
      </c>
    </row>
    <row r="5" spans="1:10" x14ac:dyDescent="0.35">
      <c r="A5" s="17">
        <v>103</v>
      </c>
      <c r="B5" s="18" t="s">
        <v>69</v>
      </c>
      <c r="C5" s="18">
        <v>724464300</v>
      </c>
      <c r="D5" s="18">
        <v>1099051777</v>
      </c>
      <c r="E5" s="18">
        <v>957802548</v>
      </c>
      <c r="F5" s="18">
        <v>2781318625</v>
      </c>
      <c r="G5" s="18">
        <v>208606150</v>
      </c>
      <c r="H5" s="18">
        <v>1519658635</v>
      </c>
      <c r="I5" s="18">
        <v>2755858087</v>
      </c>
      <c r="J5" s="18">
        <v>4484122872</v>
      </c>
    </row>
    <row r="6" spans="1:10" x14ac:dyDescent="0.35">
      <c r="A6" s="17">
        <v>105</v>
      </c>
      <c r="B6" s="18" t="s">
        <v>70</v>
      </c>
      <c r="C6" s="18">
        <v>126313872</v>
      </c>
      <c r="D6" s="18">
        <v>476241845</v>
      </c>
      <c r="E6" s="18">
        <v>446313711</v>
      </c>
      <c r="F6" s="18">
        <v>1048869428</v>
      </c>
      <c r="G6" s="18">
        <v>101296404</v>
      </c>
      <c r="H6" s="18">
        <v>690708399</v>
      </c>
      <c r="I6" s="18">
        <v>1111311796</v>
      </c>
      <c r="J6" s="18">
        <v>1903316599</v>
      </c>
    </row>
    <row r="7" spans="1:10" x14ac:dyDescent="0.35">
      <c r="A7" s="17">
        <v>400</v>
      </c>
      <c r="B7" s="18" t="s">
        <v>6</v>
      </c>
      <c r="C7" s="18">
        <v>525948629</v>
      </c>
      <c r="D7" s="18">
        <v>431508504</v>
      </c>
      <c r="E7" s="18">
        <v>210230393</v>
      </c>
      <c r="F7" s="18">
        <v>1167687526</v>
      </c>
      <c r="G7" s="18">
        <v>291393138</v>
      </c>
      <c r="H7" s="18">
        <v>574037582</v>
      </c>
      <c r="I7" s="18">
        <v>512996875</v>
      </c>
      <c r="J7" s="18">
        <v>1378427595</v>
      </c>
    </row>
    <row r="8" spans="1:10" x14ac:dyDescent="0.35">
      <c r="A8" s="17">
        <v>555</v>
      </c>
      <c r="B8" s="18" t="s">
        <v>7</v>
      </c>
      <c r="C8" s="18">
        <v>1089407632</v>
      </c>
      <c r="D8" s="18">
        <v>3887299534</v>
      </c>
      <c r="E8" s="18">
        <v>2206625021</v>
      </c>
      <c r="F8" s="18">
        <v>7183332187</v>
      </c>
      <c r="G8" s="18">
        <v>831463203</v>
      </c>
      <c r="H8" s="18">
        <v>5335780842</v>
      </c>
      <c r="I8" s="18">
        <v>5610313293</v>
      </c>
      <c r="J8" s="18">
        <v>11777557338</v>
      </c>
    </row>
    <row r="9" spans="1:10" x14ac:dyDescent="0.35">
      <c r="A9" s="17">
        <v>712</v>
      </c>
      <c r="B9" s="18" t="s">
        <v>8</v>
      </c>
      <c r="C9" s="18">
        <v>1622727893</v>
      </c>
      <c r="D9" s="18">
        <v>3400101264</v>
      </c>
      <c r="E9" s="18">
        <v>2113669963</v>
      </c>
      <c r="F9" s="18">
        <v>7136499120</v>
      </c>
      <c r="G9" s="18">
        <v>1166646123</v>
      </c>
      <c r="H9" s="18">
        <v>4636902607</v>
      </c>
      <c r="I9" s="18">
        <v>5939304739</v>
      </c>
      <c r="J9" s="18">
        <v>11742853469</v>
      </c>
    </row>
    <row r="10" spans="1:10" x14ac:dyDescent="0.35">
      <c r="A10" s="19">
        <v>777</v>
      </c>
      <c r="B10" s="20" t="s">
        <v>9</v>
      </c>
      <c r="C10" s="20">
        <v>3189065568</v>
      </c>
      <c r="D10" s="20">
        <v>9814019290</v>
      </c>
      <c r="E10" s="20">
        <v>3552969304</v>
      </c>
      <c r="F10" s="20">
        <v>16556054162</v>
      </c>
      <c r="G10" s="20">
        <v>2615975037</v>
      </c>
      <c r="H10" s="20">
        <v>13305088099</v>
      </c>
      <c r="I10" s="20">
        <v>8022327885</v>
      </c>
      <c r="J10" s="20">
        <v>23943391021</v>
      </c>
    </row>
    <row r="11" spans="1:10" x14ac:dyDescent="0.35">
      <c r="A11" s="21">
        <v>802</v>
      </c>
      <c r="B11" s="22" t="s">
        <v>10</v>
      </c>
      <c r="C11" s="22">
        <v>1178266687</v>
      </c>
      <c r="D11" s="22">
        <v>5821982691</v>
      </c>
      <c r="E11" s="22">
        <v>5715350801</v>
      </c>
      <c r="F11" s="22">
        <v>12715600179</v>
      </c>
      <c r="G11" s="22">
        <v>917151230</v>
      </c>
      <c r="H11" s="22">
        <v>8496122313</v>
      </c>
      <c r="I11" s="22">
        <v>14142898889</v>
      </c>
      <c r="J11" s="22">
        <v>23556172432</v>
      </c>
    </row>
    <row r="12" spans="1:10" x14ac:dyDescent="0.35">
      <c r="A12" s="23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7" customFormat="1" x14ac:dyDescent="0.35">
      <c r="A13" s="25"/>
      <c r="B13" s="25" t="s">
        <v>22</v>
      </c>
      <c r="C13" s="26">
        <v>8456194581</v>
      </c>
      <c r="D13" s="26">
        <v>24930204905</v>
      </c>
      <c r="E13" s="26">
        <v>15202961741</v>
      </c>
      <c r="F13" s="26">
        <v>48589361227</v>
      </c>
      <c r="G13" s="26">
        <v>6132531285</v>
      </c>
      <c r="H13" s="26">
        <v>34558298477</v>
      </c>
      <c r="I13" s="26">
        <v>38095011564</v>
      </c>
      <c r="J13" s="26">
        <v>78785841326</v>
      </c>
    </row>
    <row r="15" spans="1:10" x14ac:dyDescent="0.35">
      <c r="B15" s="28"/>
      <c r="C15" s="29"/>
      <c r="D15" s="29"/>
      <c r="E15" s="29"/>
      <c r="F15" s="29"/>
      <c r="G15" s="29"/>
      <c r="H15" s="29"/>
      <c r="I15" s="29"/>
    </row>
    <row r="16" spans="1:10" x14ac:dyDescent="0.35">
      <c r="A16" t="s">
        <v>23</v>
      </c>
      <c r="B16" s="30"/>
      <c r="C16" s="30"/>
      <c r="D16" s="30"/>
      <c r="E16" s="30"/>
      <c r="F16" s="30"/>
      <c r="G16" s="30"/>
      <c r="H16" s="30"/>
      <c r="I16" s="30"/>
    </row>
    <row r="17" spans="1:9" x14ac:dyDescent="0.35">
      <c r="A17" t="s">
        <v>24</v>
      </c>
    </row>
    <row r="18" spans="1:9" x14ac:dyDescent="0.35">
      <c r="C18" s="6"/>
    </row>
    <row r="19" spans="1:9" x14ac:dyDescent="0.35">
      <c r="A19" t="s">
        <v>25</v>
      </c>
      <c r="B19" s="31"/>
      <c r="C19" s="31"/>
      <c r="D19" s="31"/>
      <c r="E19" s="31"/>
      <c r="F19" s="31"/>
      <c r="G19" s="31"/>
      <c r="H19" s="31"/>
      <c r="I19" s="31"/>
    </row>
    <row r="20" spans="1:9" x14ac:dyDescent="0.35">
      <c r="B20" s="31"/>
      <c r="C20" s="31"/>
      <c r="D20" s="31"/>
      <c r="E20" s="31"/>
      <c r="F20" s="31"/>
      <c r="G20" s="31"/>
      <c r="H20" s="31"/>
      <c r="I20" s="31"/>
    </row>
  </sheetData>
  <sheetProtection algorithmName="SHA-512" hashValue="jNXU3rJAe+l4oKWAIXsNkol8v2m1gw2tPNZJGK6QmxXO4/uYHjrRV8tYEMLX/MlQNJOAG75AfaQFgnB2V2hvNw==" saltValue="T/c7VY8pU2DdiYCJKaCZe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A294-A994-4E30-8956-46B668F7842D}">
  <dimension ref="A1:GK42"/>
  <sheetViews>
    <sheetView workbookViewId="0">
      <selection activeCell="A24" sqref="A24"/>
    </sheetView>
  </sheetViews>
  <sheetFormatPr defaultColWidth="9.1796875" defaultRowHeight="10" x14ac:dyDescent="0.2"/>
  <cols>
    <col min="1" max="1" width="63.7265625" style="35" customWidth="1"/>
    <col min="2" max="2" width="12.1796875" style="35" bestFit="1" customWidth="1"/>
    <col min="3" max="3" width="12.7265625" style="35" bestFit="1" customWidth="1"/>
    <col min="4" max="4" width="13.26953125" style="35" bestFit="1" customWidth="1"/>
    <col min="5" max="5" width="10.81640625" style="35" bestFit="1" customWidth="1"/>
    <col min="6" max="6" width="12" style="35" bestFit="1" customWidth="1"/>
    <col min="7" max="7" width="11.453125" style="35" bestFit="1" customWidth="1"/>
    <col min="8" max="8" width="12.26953125" style="35" bestFit="1" customWidth="1"/>
    <col min="9" max="9" width="9.1796875" style="35"/>
    <col min="10" max="10" width="13.26953125" style="35" bestFit="1" customWidth="1"/>
    <col min="11" max="16384" width="9.1796875" style="35"/>
  </cols>
  <sheetData>
    <row r="1" spans="1:193" ht="24" customHeight="1" x14ac:dyDescent="0.3">
      <c r="A1" s="32" t="s">
        <v>26</v>
      </c>
      <c r="B1" s="33"/>
      <c r="C1" s="33"/>
      <c r="D1" s="32"/>
      <c r="E1" s="32"/>
      <c r="F1" s="32"/>
      <c r="G1" s="33"/>
      <c r="H1" s="32"/>
      <c r="I1" s="32"/>
      <c r="J1" s="32" t="s">
        <v>27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</row>
    <row r="2" spans="1:193" ht="8.65" customHeight="1" x14ac:dyDescent="0.25">
      <c r="A2" s="36"/>
      <c r="B2" s="37"/>
      <c r="C2" s="37"/>
      <c r="D2" s="37"/>
      <c r="E2" s="37"/>
      <c r="F2" s="37"/>
      <c r="G2" s="37"/>
      <c r="H2" s="36"/>
      <c r="I2" s="36"/>
      <c r="J2" s="37"/>
    </row>
    <row r="3" spans="1:193" ht="11.15" customHeight="1" x14ac:dyDescent="0.25">
      <c r="A3" s="38" t="s">
        <v>28</v>
      </c>
      <c r="B3" s="39" t="s">
        <v>9</v>
      </c>
      <c r="C3" s="40" t="s">
        <v>29</v>
      </c>
      <c r="D3" s="40" t="s">
        <v>4</v>
      </c>
      <c r="E3" s="40" t="s">
        <v>6</v>
      </c>
      <c r="F3" s="40" t="s">
        <v>7</v>
      </c>
      <c r="G3" s="40" t="s">
        <v>5</v>
      </c>
      <c r="H3" s="40" t="s">
        <v>10</v>
      </c>
      <c r="I3" s="38"/>
      <c r="J3" s="41" t="s">
        <v>30</v>
      </c>
    </row>
    <row r="4" spans="1:193" ht="11.15" customHeight="1" x14ac:dyDescent="0.25">
      <c r="A4" s="42"/>
      <c r="B4" s="43"/>
      <c r="C4" s="42"/>
      <c r="D4" s="42"/>
      <c r="E4" s="42"/>
      <c r="F4" s="42"/>
      <c r="G4" s="42"/>
      <c r="H4" s="44"/>
      <c r="I4" s="42"/>
      <c r="J4" s="43"/>
    </row>
    <row r="5" spans="1:193" ht="11.15" customHeight="1" x14ac:dyDescent="0.2">
      <c r="A5" s="45" t="s">
        <v>31</v>
      </c>
      <c r="B5" s="46">
        <v>6231491</v>
      </c>
      <c r="C5" s="46">
        <v>3633590</v>
      </c>
      <c r="D5" s="46">
        <v>1069723</v>
      </c>
      <c r="E5" s="47">
        <v>444597</v>
      </c>
      <c r="F5" s="46">
        <v>3321667</v>
      </c>
      <c r="G5" s="47">
        <v>515204</v>
      </c>
      <c r="H5" s="47">
        <v>7295205</v>
      </c>
      <c r="I5" s="47"/>
      <c r="J5" s="46">
        <f>SUM(B5:I5)</f>
        <v>22511477</v>
      </c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</row>
    <row r="6" spans="1:193" ht="11.15" customHeight="1" x14ac:dyDescent="0.2">
      <c r="A6" s="49" t="s">
        <v>32</v>
      </c>
      <c r="B6" s="50">
        <v>1617</v>
      </c>
      <c r="C6" s="50">
        <v>2455.6205199999999</v>
      </c>
      <c r="D6" s="50">
        <v>1567</v>
      </c>
      <c r="E6" s="51">
        <v>0</v>
      </c>
      <c r="F6" s="50">
        <v>17590</v>
      </c>
      <c r="G6" s="51">
        <v>61</v>
      </c>
      <c r="H6" s="51">
        <v>0</v>
      </c>
      <c r="I6" s="51"/>
      <c r="J6" s="50">
        <f>SUM(B6:I6)</f>
        <v>23290.62052</v>
      </c>
    </row>
    <row r="7" spans="1:193" ht="11.15" customHeight="1" x14ac:dyDescent="0.2">
      <c r="A7" s="49" t="s">
        <v>33</v>
      </c>
      <c r="B7" s="51">
        <v>310422</v>
      </c>
      <c r="C7" s="51">
        <v>159131</v>
      </c>
      <c r="D7" s="51">
        <v>3298</v>
      </c>
      <c r="E7" s="51">
        <v>231</v>
      </c>
      <c r="F7" s="51">
        <v>162372</v>
      </c>
      <c r="G7" s="51">
        <v>5714</v>
      </c>
      <c r="H7" s="51">
        <v>94749</v>
      </c>
      <c r="I7" s="51"/>
      <c r="J7" s="50">
        <f>SUM(B7:I7)</f>
        <v>735917</v>
      </c>
    </row>
    <row r="8" spans="1:193" ht="11.15" customHeight="1" x14ac:dyDescent="0.2">
      <c r="A8" s="52" t="s">
        <v>34</v>
      </c>
      <c r="B8" s="53">
        <v>27300</v>
      </c>
      <c r="C8" s="53">
        <v>181932.49304182499</v>
      </c>
      <c r="D8" s="53">
        <v>590</v>
      </c>
      <c r="E8" s="54">
        <v>0</v>
      </c>
      <c r="F8" s="53">
        <v>47501</v>
      </c>
      <c r="G8" s="54">
        <v>5070</v>
      </c>
      <c r="H8" s="54">
        <v>132737</v>
      </c>
      <c r="I8" s="53"/>
      <c r="J8" s="50">
        <f>SUM(B8:I8)</f>
        <v>395130.49304182502</v>
      </c>
    </row>
    <row r="9" spans="1:193" ht="11.15" customHeight="1" x14ac:dyDescent="0.25">
      <c r="A9" s="55" t="s">
        <v>35</v>
      </c>
      <c r="B9" s="56">
        <f>SUM(B4:B8)</f>
        <v>6570830</v>
      </c>
      <c r="C9" s="57">
        <v>3977109.1135618249</v>
      </c>
      <c r="D9" s="58">
        <v>1075178</v>
      </c>
      <c r="E9" s="59">
        <v>444828</v>
      </c>
      <c r="F9" s="56">
        <v>3549130</v>
      </c>
      <c r="G9" s="59">
        <v>526049</v>
      </c>
      <c r="H9" s="59">
        <v>7522691</v>
      </c>
      <c r="I9" s="56"/>
      <c r="J9" s="60">
        <f>J8+J7+J6+J5</f>
        <v>23665815.113561824</v>
      </c>
    </row>
    <row r="10" spans="1:193" ht="14.25" customHeight="1" x14ac:dyDescent="0.25">
      <c r="A10" s="61"/>
      <c r="B10" s="62"/>
      <c r="C10" s="62"/>
      <c r="D10" s="62"/>
      <c r="E10" s="62"/>
      <c r="F10" s="62"/>
      <c r="G10" s="63"/>
      <c r="H10" s="63"/>
      <c r="I10" s="64"/>
      <c r="J10" s="65"/>
    </row>
    <row r="11" spans="1:193" ht="11.15" customHeight="1" x14ac:dyDescent="0.2">
      <c r="A11" s="66" t="s">
        <v>36</v>
      </c>
      <c r="B11" s="50">
        <v>65612607</v>
      </c>
      <c r="C11" s="50">
        <v>31711388</v>
      </c>
      <c r="D11" s="50">
        <v>14631762</v>
      </c>
      <c r="E11" s="51">
        <v>5839365</v>
      </c>
      <c r="F11" s="50">
        <v>30905739</v>
      </c>
      <c r="G11" s="51">
        <v>4958585</v>
      </c>
      <c r="H11" s="51">
        <v>53737070</v>
      </c>
      <c r="I11" s="50"/>
      <c r="J11" s="46">
        <f>SUM(B11:I11)</f>
        <v>207396516</v>
      </c>
    </row>
    <row r="12" spans="1:193" ht="11.15" customHeight="1" x14ac:dyDescent="0.2">
      <c r="A12" s="66" t="s">
        <v>37</v>
      </c>
      <c r="B12" s="67">
        <v>64582755</v>
      </c>
      <c r="C12" s="67">
        <v>30451714</v>
      </c>
      <c r="D12" s="67">
        <v>14809152</v>
      </c>
      <c r="E12" s="67">
        <v>5699724</v>
      </c>
      <c r="F12" s="67">
        <v>30436002</v>
      </c>
      <c r="G12" s="68">
        <v>4807139</v>
      </c>
      <c r="H12" s="67">
        <v>52629394</v>
      </c>
      <c r="I12" s="50"/>
      <c r="J12" s="67">
        <f>SUM(B12:I12)</f>
        <v>203415880</v>
      </c>
    </row>
    <row r="13" spans="1:193" ht="11.15" customHeight="1" x14ac:dyDescent="0.25">
      <c r="A13" s="55" t="s">
        <v>38</v>
      </c>
      <c r="B13" s="56">
        <f>IFERROR(AVERAGE(B11:B12),0)</f>
        <v>65097681</v>
      </c>
      <c r="C13" s="56">
        <f>IFERROR(AVERAGE(C11:C12),0)</f>
        <v>31081551</v>
      </c>
      <c r="D13" s="56">
        <f>IFERROR(AVERAGE(D11:D12),0)</f>
        <v>14720457</v>
      </c>
      <c r="E13" s="56">
        <f>IFERROR(AVERAGE(E11:E12),0)</f>
        <v>5769544.5</v>
      </c>
      <c r="F13" s="56">
        <f>IFERROR(AVERAGE(F11:F12),0)</f>
        <v>30670870.5</v>
      </c>
      <c r="G13" s="59">
        <f t="shared" ref="G13:H13" si="0">IFERROR(AVERAGE(G11:G12),0)</f>
        <v>4882862</v>
      </c>
      <c r="H13" s="59">
        <f t="shared" si="0"/>
        <v>53183232</v>
      </c>
      <c r="I13" s="59"/>
      <c r="J13" s="56">
        <f>(J11+J12)/2</f>
        <v>205406198</v>
      </c>
    </row>
    <row r="14" spans="1:193" ht="11.15" customHeight="1" x14ac:dyDescent="0.2">
      <c r="A14" s="66" t="s">
        <v>39</v>
      </c>
      <c r="B14" s="50">
        <v>0</v>
      </c>
      <c r="C14" s="69">
        <v>0</v>
      </c>
      <c r="D14" s="50">
        <v>0</v>
      </c>
      <c r="E14" s="51">
        <v>4320</v>
      </c>
      <c r="F14" s="50">
        <v>2580</v>
      </c>
      <c r="G14" s="51">
        <v>607</v>
      </c>
      <c r="H14" s="51">
        <v>-43246</v>
      </c>
      <c r="I14" s="50"/>
      <c r="J14" s="46">
        <f>SUM(B14:I14)</f>
        <v>-35739</v>
      </c>
    </row>
    <row r="15" spans="1:193" ht="11.15" customHeight="1" x14ac:dyDescent="0.2">
      <c r="A15" s="66" t="s">
        <v>40</v>
      </c>
      <c r="B15" s="67">
        <v>0</v>
      </c>
      <c r="C15" s="70">
        <v>0</v>
      </c>
      <c r="D15" s="67">
        <v>0</v>
      </c>
      <c r="E15" s="68">
        <v>4320</v>
      </c>
      <c r="F15" s="68">
        <v>2580</v>
      </c>
      <c r="G15" s="68">
        <v>431</v>
      </c>
      <c r="H15" s="67">
        <v>-43247</v>
      </c>
      <c r="I15" s="50"/>
      <c r="J15" s="67">
        <f>SUM(B15:I15)</f>
        <v>-35916</v>
      </c>
    </row>
    <row r="16" spans="1:193" ht="11.15" customHeight="1" x14ac:dyDescent="0.25">
      <c r="A16" s="71" t="s">
        <v>41</v>
      </c>
      <c r="B16" s="56">
        <f>IFERROR(AVERAGE(B14:B15),0)</f>
        <v>0</v>
      </c>
      <c r="C16" s="58">
        <f t="shared" ref="C16:H16" si="1">IFERROR(AVERAGE(C14:C15),0)</f>
        <v>0</v>
      </c>
      <c r="D16" s="56">
        <f t="shared" si="1"/>
        <v>0</v>
      </c>
      <c r="E16" s="59">
        <f t="shared" si="1"/>
        <v>4320</v>
      </c>
      <c r="F16" s="59">
        <f t="shared" si="1"/>
        <v>2580</v>
      </c>
      <c r="G16" s="59">
        <f t="shared" si="1"/>
        <v>519</v>
      </c>
      <c r="H16" s="59">
        <f t="shared" si="1"/>
        <v>-43246.5</v>
      </c>
      <c r="I16" s="59"/>
      <c r="J16" s="56">
        <f>(J14+J15)/2</f>
        <v>-35827.5</v>
      </c>
    </row>
    <row r="17" spans="1:12" ht="11.15" customHeight="1" x14ac:dyDescent="0.2">
      <c r="A17" s="45" t="s">
        <v>42</v>
      </c>
      <c r="B17" s="69">
        <v>0</v>
      </c>
      <c r="C17" s="69">
        <v>0</v>
      </c>
      <c r="D17" s="50">
        <v>0</v>
      </c>
      <c r="E17" s="51">
        <v>0</v>
      </c>
      <c r="F17" s="50">
        <v>0</v>
      </c>
      <c r="G17" s="51">
        <v>0</v>
      </c>
      <c r="H17" s="51">
        <v>0</v>
      </c>
      <c r="I17" s="50"/>
      <c r="J17" s="46">
        <f>SUM(B17:I17)</f>
        <v>0</v>
      </c>
    </row>
    <row r="18" spans="1:12" ht="11.15" customHeight="1" x14ac:dyDescent="0.2">
      <c r="A18" s="49" t="s">
        <v>43</v>
      </c>
      <c r="B18" s="70">
        <v>0</v>
      </c>
      <c r="C18" s="70">
        <v>0</v>
      </c>
      <c r="D18" s="67">
        <v>0</v>
      </c>
      <c r="E18" s="68">
        <v>0</v>
      </c>
      <c r="F18" s="68">
        <v>0</v>
      </c>
      <c r="G18" s="68">
        <v>0</v>
      </c>
      <c r="H18" s="67">
        <v>0</v>
      </c>
      <c r="I18" s="50"/>
      <c r="J18" s="67">
        <f>SUM(B18:I18)</f>
        <v>0</v>
      </c>
    </row>
    <row r="19" spans="1:12" ht="11.15" customHeight="1" x14ac:dyDescent="0.25">
      <c r="A19" s="72" t="s">
        <v>44</v>
      </c>
      <c r="B19" s="58">
        <f t="shared" ref="B19:H19" si="2">IFERROR(AVERAGE(B17:B18),0)</f>
        <v>0</v>
      </c>
      <c r="C19" s="58">
        <f t="shared" si="2"/>
        <v>0</v>
      </c>
      <c r="D19" s="56">
        <f t="shared" si="2"/>
        <v>0</v>
      </c>
      <c r="E19" s="59">
        <f t="shared" si="2"/>
        <v>0</v>
      </c>
      <c r="F19" s="56">
        <f t="shared" si="2"/>
        <v>0</v>
      </c>
      <c r="G19" s="59">
        <f t="shared" si="2"/>
        <v>0</v>
      </c>
      <c r="H19" s="59">
        <f t="shared" si="2"/>
        <v>0</v>
      </c>
      <c r="I19" s="59"/>
      <c r="J19" s="56">
        <f>(J17+J18)/2</f>
        <v>0</v>
      </c>
    </row>
    <row r="20" spans="1:12" ht="11.15" customHeight="1" x14ac:dyDescent="0.2">
      <c r="A20" s="66" t="s">
        <v>45</v>
      </c>
      <c r="B20" s="50">
        <v>0</v>
      </c>
      <c r="C20" s="69">
        <v>0</v>
      </c>
      <c r="D20" s="50">
        <v>204353</v>
      </c>
      <c r="E20" s="51">
        <v>6398</v>
      </c>
      <c r="F20" s="50">
        <v>0</v>
      </c>
      <c r="G20" s="51">
        <v>0</v>
      </c>
      <c r="H20" s="51">
        <v>0</v>
      </c>
      <c r="I20" s="50"/>
      <c r="J20" s="46">
        <f>SUM(B20:I20)</f>
        <v>210751</v>
      </c>
    </row>
    <row r="21" spans="1:12" ht="11.15" customHeight="1" x14ac:dyDescent="0.2">
      <c r="A21" s="66" t="s">
        <v>46</v>
      </c>
      <c r="B21" s="67">
        <v>0</v>
      </c>
      <c r="C21" s="70">
        <v>0</v>
      </c>
      <c r="D21" s="67">
        <v>208976</v>
      </c>
      <c r="E21" s="68">
        <v>6294</v>
      </c>
      <c r="F21" s="68">
        <v>0</v>
      </c>
      <c r="G21" s="68">
        <v>0</v>
      </c>
      <c r="H21" s="67">
        <v>0</v>
      </c>
      <c r="I21" s="50"/>
      <c r="J21" s="67">
        <f>SUM(B21:I21)</f>
        <v>215270</v>
      </c>
    </row>
    <row r="22" spans="1:12" ht="11.15" customHeight="1" x14ac:dyDescent="0.25">
      <c r="A22" s="55" t="s">
        <v>47</v>
      </c>
      <c r="B22" s="56">
        <f>IFERROR(AVERAGE(B20:B21),0)</f>
        <v>0</v>
      </c>
      <c r="C22" s="58">
        <f t="shared" ref="C22:H22" si="3">IFERROR(AVERAGE(C20:C21),0)</f>
        <v>0</v>
      </c>
      <c r="D22" s="56">
        <f t="shared" si="3"/>
        <v>206664.5</v>
      </c>
      <c r="E22" s="59">
        <f t="shared" si="3"/>
        <v>6346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/>
      <c r="J22" s="56">
        <f>(J20+J21)/2</f>
        <v>213010.5</v>
      </c>
    </row>
    <row r="23" spans="1:12" ht="11.15" customHeight="1" x14ac:dyDescent="0.2">
      <c r="A23" s="66" t="s">
        <v>48</v>
      </c>
      <c r="B23" s="50">
        <v>1157473</v>
      </c>
      <c r="C23" s="50">
        <v>489775</v>
      </c>
      <c r="D23" s="50">
        <v>176177</v>
      </c>
      <c r="E23" s="51">
        <v>111661</v>
      </c>
      <c r="F23" s="50">
        <v>683669</v>
      </c>
      <c r="G23" s="51">
        <v>80652</v>
      </c>
      <c r="H23" s="51">
        <v>959300</v>
      </c>
      <c r="I23" s="50"/>
      <c r="J23" s="46">
        <f>SUM(B23:H23)</f>
        <v>3658707</v>
      </c>
    </row>
    <row r="24" spans="1:12" ht="11.15" customHeight="1" x14ac:dyDescent="0.2">
      <c r="A24" s="66" t="s">
        <v>49</v>
      </c>
      <c r="B24" s="67">
        <v>864065</v>
      </c>
      <c r="C24" s="67">
        <v>340510</v>
      </c>
      <c r="D24" s="67">
        <v>171952</v>
      </c>
      <c r="E24" s="68">
        <v>81967</v>
      </c>
      <c r="F24" s="68">
        <v>613147</v>
      </c>
      <c r="G24" s="68">
        <v>67434</v>
      </c>
      <c r="H24" s="67">
        <v>649462</v>
      </c>
      <c r="I24" s="50"/>
      <c r="J24" s="67">
        <f>SUM(B24:I24)</f>
        <v>2788537</v>
      </c>
    </row>
    <row r="25" spans="1:12" ht="11.15" customHeight="1" x14ac:dyDescent="0.25">
      <c r="A25" s="55" t="s">
        <v>50</v>
      </c>
      <c r="B25" s="56">
        <f>IFERROR(AVERAGE(B24:B24),0)</f>
        <v>864065</v>
      </c>
      <c r="C25" s="56">
        <f t="shared" ref="C25:H25" si="4">IFERROR(AVERAGE(C23:C24),0)</f>
        <v>415142.5</v>
      </c>
      <c r="D25" s="56">
        <f t="shared" si="4"/>
        <v>174064.5</v>
      </c>
      <c r="E25" s="59">
        <f t="shared" si="4"/>
        <v>96814</v>
      </c>
      <c r="F25" s="56">
        <f t="shared" si="4"/>
        <v>648408</v>
      </c>
      <c r="G25" s="59">
        <f t="shared" si="4"/>
        <v>74043</v>
      </c>
      <c r="H25" s="59">
        <f t="shared" si="4"/>
        <v>804381</v>
      </c>
      <c r="I25" s="59"/>
      <c r="J25" s="56">
        <f>(J23+J24)/2</f>
        <v>3223622</v>
      </c>
    </row>
    <row r="26" spans="1:12" ht="11.15" customHeight="1" x14ac:dyDescent="0.2">
      <c r="A26" s="51" t="s">
        <v>51</v>
      </c>
      <c r="B26" s="50">
        <v>15101812</v>
      </c>
      <c r="C26" s="50">
        <v>6977100</v>
      </c>
      <c r="D26" s="50">
        <v>3162999</v>
      </c>
      <c r="E26" s="51">
        <v>1048033</v>
      </c>
      <c r="F26" s="50">
        <v>6952295</v>
      </c>
      <c r="G26" s="51">
        <v>1013939</v>
      </c>
      <c r="H26" s="51">
        <v>-12237457</v>
      </c>
      <c r="I26" s="50"/>
      <c r="J26" s="46">
        <f>SUM(B26:I26)</f>
        <v>22018721</v>
      </c>
    </row>
    <row r="27" spans="1:12" ht="11.15" customHeight="1" x14ac:dyDescent="0.2">
      <c r="A27" s="51" t="s">
        <v>52</v>
      </c>
      <c r="B27" s="67">
        <v>15190640</v>
      </c>
      <c r="C27" s="67">
        <v>6837073</v>
      </c>
      <c r="D27" s="67">
        <v>3123768</v>
      </c>
      <c r="E27" s="68">
        <v>1007006</v>
      </c>
      <c r="F27" s="68">
        <v>6881750</v>
      </c>
      <c r="G27" s="68">
        <v>994773</v>
      </c>
      <c r="H27" s="67">
        <v>-11880969</v>
      </c>
      <c r="I27" s="50"/>
      <c r="J27" s="67">
        <f>SUM(B27:I27)</f>
        <v>22154041</v>
      </c>
    </row>
    <row r="28" spans="1:12" ht="11.15" customHeight="1" x14ac:dyDescent="0.25">
      <c r="A28" s="59" t="s">
        <v>53</v>
      </c>
      <c r="B28" s="56">
        <f>IFERROR(AVERAGE(B27:B27),0)</f>
        <v>15190640</v>
      </c>
      <c r="C28" s="56">
        <f t="shared" ref="C28:H28" si="5">IFERROR(AVERAGE(C26:C27),0)</f>
        <v>6907086.5</v>
      </c>
      <c r="D28" s="56">
        <f t="shared" si="5"/>
        <v>3143383.5</v>
      </c>
      <c r="E28" s="59">
        <f t="shared" si="5"/>
        <v>1027519.5</v>
      </c>
      <c r="F28" s="56">
        <f t="shared" si="5"/>
        <v>6917022.5</v>
      </c>
      <c r="G28" s="59">
        <f t="shared" si="5"/>
        <v>1004356</v>
      </c>
      <c r="H28" s="59">
        <f t="shared" si="5"/>
        <v>-12059213</v>
      </c>
      <c r="I28" s="59"/>
      <c r="J28" s="56">
        <f>(J26+J27)/2</f>
        <v>22086381</v>
      </c>
    </row>
    <row r="29" spans="1:12" ht="11.15" customHeight="1" x14ac:dyDescent="0.2">
      <c r="A29" s="66" t="s">
        <v>54</v>
      </c>
      <c r="B29" s="73">
        <v>51668268</v>
      </c>
      <c r="C29" s="73">
        <v>25224063</v>
      </c>
      <c r="D29" s="73">
        <v>11849293</v>
      </c>
      <c r="E29" s="73">
        <v>4905071</v>
      </c>
      <c r="F29" s="50">
        <v>24634533</v>
      </c>
      <c r="G29" s="51">
        <v>4024691</v>
      </c>
      <c r="H29" s="51">
        <v>42415667</v>
      </c>
      <c r="I29" s="51"/>
      <c r="J29" s="50">
        <f>J11+J23+J20-J17-J14-J26</f>
        <v>189282992</v>
      </c>
    </row>
    <row r="30" spans="1:12" ht="11.15" customHeight="1" x14ac:dyDescent="0.2">
      <c r="A30" s="66" t="s">
        <v>55</v>
      </c>
      <c r="B30" s="74">
        <v>50256180</v>
      </c>
      <c r="C30" s="74">
        <v>23955151</v>
      </c>
      <c r="D30" s="74">
        <v>12066312</v>
      </c>
      <c r="E30" s="73">
        <v>4776659</v>
      </c>
      <c r="F30" s="68">
        <v>24164819</v>
      </c>
      <c r="G30" s="68">
        <v>3879369</v>
      </c>
      <c r="H30" s="67">
        <v>41354640</v>
      </c>
      <c r="I30" s="50"/>
      <c r="J30" s="67">
        <f>J12+J24+J21-J18-J15-J27</f>
        <v>184301562</v>
      </c>
    </row>
    <row r="31" spans="1:12" ht="11.15" customHeight="1" x14ac:dyDescent="0.25">
      <c r="A31" s="71" t="s">
        <v>56</v>
      </c>
      <c r="B31" s="75">
        <f>IFERROR(AVERAGE(B29:B30),0)</f>
        <v>50962224</v>
      </c>
      <c r="C31" s="57">
        <f t="shared" ref="C31:H31" si="6">IFERROR(AVERAGE(C29:C30),0)</f>
        <v>24589607</v>
      </c>
      <c r="D31" s="57">
        <f t="shared" si="6"/>
        <v>11957802.5</v>
      </c>
      <c r="E31" s="59">
        <f t="shared" si="6"/>
        <v>4840865</v>
      </c>
      <c r="F31" s="59">
        <f t="shared" si="6"/>
        <v>24399676</v>
      </c>
      <c r="G31" s="59">
        <f t="shared" si="6"/>
        <v>3952030</v>
      </c>
      <c r="H31" s="59">
        <f t="shared" si="6"/>
        <v>41885153.5</v>
      </c>
      <c r="I31" s="59"/>
      <c r="J31" s="56">
        <f>J13+J25+J22-J19-J16-J28</f>
        <v>186792277</v>
      </c>
    </row>
    <row r="32" spans="1:12" ht="0.75" customHeight="1" x14ac:dyDescent="0.25">
      <c r="A32" s="76"/>
      <c r="B32" s="77">
        <f>B9/B31</f>
        <v>0.12893530706195239</v>
      </c>
      <c r="C32" s="78">
        <f t="shared" ref="C32:H32" si="7">C9/C31</f>
        <v>0.16173943380070388</v>
      </c>
      <c r="D32" s="79">
        <f t="shared" si="7"/>
        <v>8.9914346720478114E-2</v>
      </c>
      <c r="E32" s="79">
        <f t="shared" si="7"/>
        <v>9.1890189046792262E-2</v>
      </c>
      <c r="F32" s="80">
        <f t="shared" si="7"/>
        <v>0.14545807903350846</v>
      </c>
      <c r="G32" s="79">
        <f t="shared" si="7"/>
        <v>0.13310855433789723</v>
      </c>
      <c r="H32" s="79">
        <f t="shared" si="7"/>
        <v>0.17960280365213416</v>
      </c>
      <c r="I32" s="81"/>
      <c r="J32" s="76"/>
      <c r="L32" s="35" t="s">
        <v>57</v>
      </c>
    </row>
    <row r="33" spans="1:193" ht="13.5" customHeight="1" x14ac:dyDescent="0.35">
      <c r="A33" s="82" t="s">
        <v>58</v>
      </c>
      <c r="B33" s="83">
        <f t="shared" ref="B33:G33" si="8">B9/B31</f>
        <v>0.12893530706195239</v>
      </c>
      <c r="C33" s="83">
        <f t="shared" si="8"/>
        <v>0.16173943380070388</v>
      </c>
      <c r="D33" s="83">
        <f>D9/D31</f>
        <v>8.9914346720478114E-2</v>
      </c>
      <c r="E33" s="83">
        <f t="shared" si="8"/>
        <v>9.1890189046792262E-2</v>
      </c>
      <c r="F33" s="83">
        <f t="shared" si="8"/>
        <v>0.14545807903350846</v>
      </c>
      <c r="G33" s="83">
        <f t="shared" si="8"/>
        <v>0.13310855433789723</v>
      </c>
      <c r="H33" s="83">
        <f>H9/H31</f>
        <v>0.17960280365213416</v>
      </c>
      <c r="I33" s="84"/>
      <c r="J33" s="83">
        <f>J9/J31</f>
        <v>0.12669589714119617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34"/>
      <c r="GI33" s="34"/>
      <c r="GJ33" s="34"/>
      <c r="GK33" s="34"/>
    </row>
    <row r="34" spans="1:193" ht="0.75" customHeight="1" x14ac:dyDescent="0.2">
      <c r="D34" s="86"/>
    </row>
    <row r="35" spans="1:193" ht="12" customHeight="1" x14ac:dyDescent="0.2">
      <c r="B35" s="87"/>
      <c r="C35" s="87"/>
      <c r="D35" s="87"/>
      <c r="E35" s="87"/>
      <c r="F35" s="87"/>
      <c r="G35" s="87"/>
      <c r="H35" s="87"/>
      <c r="J35" s="87"/>
    </row>
    <row r="36" spans="1:193" x14ac:dyDescent="0.2">
      <c r="G36" s="88"/>
    </row>
    <row r="38" spans="1:193" ht="15.5" x14ac:dyDescent="0.2">
      <c r="K38" s="89"/>
      <c r="L38" s="89"/>
    </row>
    <row r="39" spans="1:193" ht="15.5" x14ac:dyDescent="0.2">
      <c r="K39" s="89"/>
      <c r="L39" s="89"/>
    </row>
    <row r="40" spans="1:193" ht="12.5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34"/>
      <c r="GI40" s="34"/>
      <c r="GJ40" s="34"/>
      <c r="GK40" s="34"/>
    </row>
    <row r="41" spans="1:193" ht="15.5" x14ac:dyDescent="0.2">
      <c r="A41" s="89"/>
      <c r="B41" s="89"/>
      <c r="K41" s="89"/>
      <c r="L41" s="89"/>
    </row>
    <row r="42" spans="1:193" ht="12.5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</row>
  </sheetData>
  <sheetProtection algorithmName="SHA-512" hashValue="0ML4i4QTpbQZRSfbrI0t0QVZlQu2hCVVeMVcrh7q6QXz5Q/+lHESEizE+OFmulj38k9Ifdo93Y+41iJTP8YXuQ==" saltValue="lKMV8xtXy24PAHDs8e5/7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878A-4B97-40D3-8FF8-127A2AA5031A}">
  <dimension ref="A1:E16"/>
  <sheetViews>
    <sheetView workbookViewId="0">
      <selection activeCell="H13" sqref="H13"/>
    </sheetView>
  </sheetViews>
  <sheetFormatPr defaultRowHeight="14.5" x14ac:dyDescent="0.35"/>
  <cols>
    <col min="2" max="2" width="10.7265625" customWidth="1"/>
    <col min="3" max="5" width="16.7265625" customWidth="1"/>
  </cols>
  <sheetData>
    <row r="1" spans="1:5" ht="15.5" x14ac:dyDescent="0.35">
      <c r="A1" s="13" t="str">
        <f>'[1]Inputs from Decisions'!B1&amp;" RSAM Calculation"</f>
        <v>2022 RSAM Calculation</v>
      </c>
      <c r="B1" s="90"/>
      <c r="C1" s="90"/>
      <c r="D1" s="90"/>
      <c r="E1" s="90"/>
    </row>
    <row r="2" spans="1:5" x14ac:dyDescent="0.35">
      <c r="A2" s="15" t="s">
        <v>59</v>
      </c>
      <c r="B2" s="90"/>
      <c r="C2" s="90"/>
      <c r="D2" s="90"/>
      <c r="E2" s="90"/>
    </row>
    <row r="3" spans="1:5" x14ac:dyDescent="0.35">
      <c r="A3" s="91"/>
      <c r="B3" s="91"/>
      <c r="C3" s="91"/>
      <c r="D3" s="91"/>
      <c r="E3" s="91"/>
    </row>
    <row r="4" spans="1:5" x14ac:dyDescent="0.35">
      <c r="A4" s="92" t="s">
        <v>60</v>
      </c>
      <c r="B4" s="92" t="s">
        <v>61</v>
      </c>
      <c r="C4" s="92" t="s">
        <v>62</v>
      </c>
      <c r="D4" s="92" t="s">
        <v>63</v>
      </c>
      <c r="E4" s="92" t="s">
        <v>64</v>
      </c>
    </row>
    <row r="5" spans="1:5" ht="26.5" x14ac:dyDescent="0.35">
      <c r="A5" s="93" t="s">
        <v>65</v>
      </c>
      <c r="B5" s="94" t="s">
        <v>28</v>
      </c>
      <c r="C5" s="95" t="s">
        <v>66</v>
      </c>
      <c r="D5" s="95" t="s">
        <v>67</v>
      </c>
      <c r="E5" s="95" t="s">
        <v>68</v>
      </c>
    </row>
    <row r="6" spans="1:5" x14ac:dyDescent="0.35">
      <c r="A6" s="96">
        <v>103</v>
      </c>
      <c r="B6" s="96" t="s">
        <v>69</v>
      </c>
      <c r="C6" s="97">
        <f>'[1]Inputs from Decisions'!B7</f>
        <v>0.21</v>
      </c>
      <c r="D6" s="98">
        <f>'[1]Inputs from Decisions'!B10</f>
        <v>7.9060000000000005E-2</v>
      </c>
      <c r="E6" s="98">
        <f>D6+(1-D6)*C6</f>
        <v>0.27245740000000002</v>
      </c>
    </row>
    <row r="7" spans="1:5" x14ac:dyDescent="0.35">
      <c r="A7" s="96">
        <v>105</v>
      </c>
      <c r="B7" s="96" t="s">
        <v>70</v>
      </c>
      <c r="C7" s="97">
        <f t="shared" ref="C7:C12" si="0">$C$6</f>
        <v>0.21</v>
      </c>
      <c r="D7" s="98">
        <f>'[1]Inputs from Decisions'!B11</f>
        <v>7.8020000000000006E-2</v>
      </c>
      <c r="E7" s="98">
        <f>D7+(1-D7)*C7</f>
        <v>0.27163579999999998</v>
      </c>
    </row>
    <row r="8" spans="1:5" x14ac:dyDescent="0.35">
      <c r="A8" s="96">
        <v>400</v>
      </c>
      <c r="B8" s="96" t="s">
        <v>6</v>
      </c>
      <c r="C8" s="97">
        <f t="shared" si="0"/>
        <v>0.21</v>
      </c>
      <c r="D8" s="98">
        <f>'[1]Inputs from Decisions'!B12</f>
        <v>4.897E-2</v>
      </c>
      <c r="E8" s="98">
        <f t="shared" ref="E8:E12" si="1">D8+(1-D8)*C8</f>
        <v>0.24868630000000003</v>
      </c>
    </row>
    <row r="9" spans="1:5" x14ac:dyDescent="0.35">
      <c r="A9" s="96">
        <v>555</v>
      </c>
      <c r="B9" s="96" t="s">
        <v>7</v>
      </c>
      <c r="C9" s="97">
        <f t="shared" si="0"/>
        <v>0.21</v>
      </c>
      <c r="D9" s="98">
        <f>'[1]Inputs from Decisions'!B13</f>
        <v>5.62E-2</v>
      </c>
      <c r="E9" s="98">
        <f t="shared" si="1"/>
        <v>0.25439800000000001</v>
      </c>
    </row>
    <row r="10" spans="1:5" x14ac:dyDescent="0.35">
      <c r="A10" s="96">
        <v>712</v>
      </c>
      <c r="B10" s="96" t="s">
        <v>8</v>
      </c>
      <c r="C10" s="97">
        <f t="shared" si="0"/>
        <v>0.21</v>
      </c>
      <c r="D10" s="98">
        <f>'[1]Inputs from Decisions'!B14</f>
        <v>5.2420000000000001E-2</v>
      </c>
      <c r="E10" s="98">
        <f t="shared" si="1"/>
        <v>0.25141180000000002</v>
      </c>
    </row>
    <row r="11" spans="1:5" x14ac:dyDescent="0.35">
      <c r="A11" s="96">
        <v>777</v>
      </c>
      <c r="B11" s="96" t="s">
        <v>9</v>
      </c>
      <c r="C11" s="97">
        <f t="shared" si="0"/>
        <v>0.21</v>
      </c>
      <c r="D11" s="98">
        <f>'[1]Inputs from Decisions'!B15</f>
        <v>4.9599999999999998E-2</v>
      </c>
      <c r="E11" s="98">
        <f t="shared" si="1"/>
        <v>0.24918399999999999</v>
      </c>
    </row>
    <row r="12" spans="1:5" x14ac:dyDescent="0.35">
      <c r="A12" s="96">
        <v>802</v>
      </c>
      <c r="B12" s="96" t="s">
        <v>10</v>
      </c>
      <c r="C12" s="97">
        <f t="shared" si="0"/>
        <v>0.21</v>
      </c>
      <c r="D12" s="98">
        <f>'[1]Inputs from Decisions'!B16</f>
        <v>5.3370000000000001E-2</v>
      </c>
      <c r="E12" s="98">
        <f t="shared" si="1"/>
        <v>0.25216229999999995</v>
      </c>
    </row>
    <row r="15" spans="1:5" x14ac:dyDescent="0.35">
      <c r="A15" t="s">
        <v>71</v>
      </c>
    </row>
    <row r="16" spans="1:5" x14ac:dyDescent="0.35">
      <c r="A16" s="99" t="str">
        <f>"     Column D:  EP 682 Sub "&amp;'[1]Inputs from Decisions'!B1-2008&amp;", Annual Submission of State Tax Information - "&amp;'[1]Inputs from Decisions'!B1</f>
        <v xml:space="preserve">     Column D:  EP 682 Sub 14, Annual Submission of State Tax Information - 2022</v>
      </c>
    </row>
  </sheetData>
  <sheetProtection algorithmName="SHA-512" hashValue="8Yk4L+Ad5AOQuKqbEGDRfWDhaVfTIIYeXs5qEzUe+7DKjO+slj5o8deKq/ZrRMEe4QiaUnDM2FXmfaFAxPWIiQ==" saltValue="HxRaZBv4v9feAc7vnBsbr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B0A5-B578-4C5E-9732-A13AF36115E1}">
  <dimension ref="A1:K20"/>
  <sheetViews>
    <sheetView workbookViewId="0">
      <selection sqref="A1:XFD1048576"/>
    </sheetView>
  </sheetViews>
  <sheetFormatPr defaultRowHeight="14.5" x14ac:dyDescent="0.35"/>
  <cols>
    <col min="2" max="2" width="10.7265625" customWidth="1"/>
    <col min="3" max="7" width="16.7265625" customWidth="1"/>
    <col min="8" max="8" width="12.7265625" customWidth="1"/>
    <col min="9" max="9" width="20.7265625" customWidth="1"/>
  </cols>
  <sheetData>
    <row r="1" spans="1:11" ht="15.5" x14ac:dyDescent="0.35">
      <c r="A1" s="13" t="str">
        <f>'[1]Inputs from Decisions'!B1&amp;" RSAM Calculation"</f>
        <v>2022 RSAM Calculation</v>
      </c>
      <c r="B1" s="14"/>
      <c r="C1" s="14"/>
      <c r="D1" s="14"/>
      <c r="E1" s="14"/>
      <c r="F1" s="14"/>
      <c r="G1" s="14"/>
      <c r="H1" s="14"/>
      <c r="I1" s="14"/>
    </row>
    <row r="2" spans="1:11" x14ac:dyDescent="0.35">
      <c r="A2" s="15" t="s">
        <v>72</v>
      </c>
      <c r="B2" s="14"/>
      <c r="C2" s="14"/>
      <c r="D2" s="14"/>
      <c r="E2" s="14"/>
      <c r="F2" s="14"/>
      <c r="G2" s="14"/>
      <c r="H2" s="14"/>
      <c r="I2" s="14"/>
    </row>
    <row r="4" spans="1:11" x14ac:dyDescent="0.35">
      <c r="A4" s="92" t="s">
        <v>60</v>
      </c>
      <c r="B4" s="92" t="s">
        <v>61</v>
      </c>
      <c r="C4" s="92" t="s">
        <v>62</v>
      </c>
      <c r="D4" s="92" t="s">
        <v>63</v>
      </c>
      <c r="E4" s="92" t="s">
        <v>73</v>
      </c>
      <c r="F4" s="92" t="s">
        <v>74</v>
      </c>
      <c r="G4" s="92" t="s">
        <v>75</v>
      </c>
      <c r="H4" s="92" t="s">
        <v>76</v>
      </c>
      <c r="I4" s="92" t="s">
        <v>77</v>
      </c>
    </row>
    <row r="5" spans="1:11" ht="26.5" x14ac:dyDescent="0.35">
      <c r="A5" s="100" t="s">
        <v>65</v>
      </c>
      <c r="B5" s="101" t="s">
        <v>28</v>
      </c>
      <c r="C5" s="102" t="s">
        <v>78</v>
      </c>
      <c r="D5" s="102" t="s">
        <v>79</v>
      </c>
      <c r="E5" s="102" t="s">
        <v>80</v>
      </c>
      <c r="F5" s="102" t="s">
        <v>81</v>
      </c>
      <c r="G5" s="102" t="s">
        <v>82</v>
      </c>
      <c r="H5" s="102" t="s">
        <v>68</v>
      </c>
      <c r="I5" s="102" t="s">
        <v>83</v>
      </c>
      <c r="J5" s="91"/>
    </row>
    <row r="6" spans="1:11" x14ac:dyDescent="0.35">
      <c r="A6" s="103">
        <v>103</v>
      </c>
      <c r="B6" s="103" t="s">
        <v>69</v>
      </c>
      <c r="C6" s="104">
        <f>'[1]R-1 Schedule 250 Part A'!D31</f>
        <v>11957802.5</v>
      </c>
      <c r="D6" s="105">
        <f>'[1]Inputs from Decisions'!B5</f>
        <v>0.10580000000000001</v>
      </c>
      <c r="E6" s="104">
        <f t="shared" ref="E6:E12" si="0">C6*D6</f>
        <v>1265135.5045</v>
      </c>
      <c r="F6" s="104">
        <f>'[1]R-1 Schedule 250 Part A'!D9</f>
        <v>1075178</v>
      </c>
      <c r="G6" s="104">
        <f>E6-F6</f>
        <v>189957.50450000004</v>
      </c>
      <c r="H6" s="105">
        <f>'[1]Tax Rates'!E6</f>
        <v>0.27245740000000002</v>
      </c>
      <c r="I6" s="104">
        <f>G6/(1-H6)</f>
        <v>261094.68297801397</v>
      </c>
      <c r="J6" s="91"/>
      <c r="K6" s="106"/>
    </row>
    <row r="7" spans="1:11" x14ac:dyDescent="0.35">
      <c r="A7" s="107">
        <v>105</v>
      </c>
      <c r="B7" s="107" t="s">
        <v>70</v>
      </c>
      <c r="C7" s="108">
        <f>'[1]R-1 Schedule 250 Part A'!G31</f>
        <v>3952030</v>
      </c>
      <c r="D7" s="109">
        <f t="shared" ref="D7:D12" si="1">$D$6</f>
        <v>0.10580000000000001</v>
      </c>
      <c r="E7" s="108">
        <f t="shared" si="0"/>
        <v>418124.77400000003</v>
      </c>
      <c r="F7" s="108">
        <f>'[1]R-1 Schedule 250 Part A'!G9</f>
        <v>526049</v>
      </c>
      <c r="G7" s="108">
        <f t="shared" ref="G7:G12" si="2">E7-F7</f>
        <v>-107924.22599999997</v>
      </c>
      <c r="H7" s="109">
        <f>'[1]Tax Rates'!E7</f>
        <v>0.27163579999999998</v>
      </c>
      <c r="I7" s="108">
        <f t="shared" ref="I7:I12" si="3">G7/(1-H7)</f>
        <v>-148173.4357619443</v>
      </c>
      <c r="J7" s="91"/>
      <c r="K7" s="106"/>
    </row>
    <row r="8" spans="1:11" x14ac:dyDescent="0.35">
      <c r="A8" s="107">
        <v>400</v>
      </c>
      <c r="B8" s="107" t="s">
        <v>6</v>
      </c>
      <c r="C8" s="108">
        <f>'[1]R-1 Schedule 250 Part A'!E31</f>
        <v>4840865</v>
      </c>
      <c r="D8" s="109">
        <f t="shared" si="1"/>
        <v>0.10580000000000001</v>
      </c>
      <c r="E8" s="108">
        <f t="shared" si="0"/>
        <v>512163.51700000005</v>
      </c>
      <c r="F8" s="108">
        <f>'[1]R-1 Schedule 250 Part A'!E9</f>
        <v>444828</v>
      </c>
      <c r="G8" s="108">
        <f t="shared" si="2"/>
        <v>67335.517000000051</v>
      </c>
      <c r="H8" s="109">
        <f>'[1]Tax Rates'!E8</f>
        <v>0.24868630000000003</v>
      </c>
      <c r="I8" s="108">
        <f t="shared" si="3"/>
        <v>89623.704452614198</v>
      </c>
      <c r="J8" s="91"/>
      <c r="K8" s="106"/>
    </row>
    <row r="9" spans="1:11" x14ac:dyDescent="0.35">
      <c r="A9" s="107">
        <v>555</v>
      </c>
      <c r="B9" s="107" t="s">
        <v>7</v>
      </c>
      <c r="C9" s="108">
        <f>'[1]R-1 Schedule 250 Part A'!F31</f>
        <v>24399676</v>
      </c>
      <c r="D9" s="109">
        <f t="shared" si="1"/>
        <v>0.10580000000000001</v>
      </c>
      <c r="E9" s="108">
        <f t="shared" si="0"/>
        <v>2581485.7208000002</v>
      </c>
      <c r="F9" s="108">
        <f>'[1]R-1 Schedule 250 Part A'!F9</f>
        <v>3549130</v>
      </c>
      <c r="G9" s="108">
        <f t="shared" si="2"/>
        <v>-967644.27919999976</v>
      </c>
      <c r="H9" s="109">
        <f>'[1]Tax Rates'!E9</f>
        <v>0.25439800000000001</v>
      </c>
      <c r="I9" s="108">
        <f t="shared" si="3"/>
        <v>-1297802.6872245511</v>
      </c>
      <c r="J9" s="91"/>
      <c r="K9" s="106"/>
    </row>
    <row r="10" spans="1:11" x14ac:dyDescent="0.35">
      <c r="A10" s="107">
        <v>712</v>
      </c>
      <c r="B10" s="107" t="s">
        <v>8</v>
      </c>
      <c r="C10" s="108">
        <f>'[1]R-1 Schedule 250 Part A'!C31</f>
        <v>24589607</v>
      </c>
      <c r="D10" s="109">
        <f t="shared" si="1"/>
        <v>0.10580000000000001</v>
      </c>
      <c r="E10" s="108">
        <f t="shared" si="0"/>
        <v>2601580.4206000003</v>
      </c>
      <c r="F10" s="108">
        <f>'[1]R-1 Schedule 250 Part A'!C9</f>
        <v>3977109.1135618249</v>
      </c>
      <c r="G10" s="108">
        <f t="shared" si="2"/>
        <v>-1375528.6929618246</v>
      </c>
      <c r="H10" s="109">
        <f>'[1]Tax Rates'!E10</f>
        <v>0.25141180000000002</v>
      </c>
      <c r="I10" s="108">
        <f t="shared" si="3"/>
        <v>-1837497.1619400689</v>
      </c>
      <c r="J10" s="91"/>
      <c r="K10" s="106"/>
    </row>
    <row r="11" spans="1:11" x14ac:dyDescent="0.35">
      <c r="A11" s="107">
        <v>777</v>
      </c>
      <c r="B11" s="107" t="s">
        <v>9</v>
      </c>
      <c r="C11" s="108">
        <f>'[1]R-1 Schedule 250 Part A'!B31</f>
        <v>50962224</v>
      </c>
      <c r="D11" s="109">
        <f t="shared" si="1"/>
        <v>0.10580000000000001</v>
      </c>
      <c r="E11" s="108">
        <f t="shared" si="0"/>
        <v>5391803.2992000002</v>
      </c>
      <c r="F11" s="108">
        <f>'[1]R-1 Schedule 250 Part A'!B9</f>
        <v>6570830</v>
      </c>
      <c r="G11" s="108">
        <f t="shared" si="2"/>
        <v>-1179026.7007999998</v>
      </c>
      <c r="H11" s="109">
        <f>'[1]Tax Rates'!E11</f>
        <v>0.24918399999999999</v>
      </c>
      <c r="I11" s="108">
        <f t="shared" si="3"/>
        <v>-1570327.085197971</v>
      </c>
      <c r="J11" s="91"/>
      <c r="K11" s="106"/>
    </row>
    <row r="12" spans="1:11" x14ac:dyDescent="0.35">
      <c r="A12" s="107">
        <v>802</v>
      </c>
      <c r="B12" s="107" t="s">
        <v>10</v>
      </c>
      <c r="C12" s="108">
        <f>'[1]R-1 Schedule 250 Part A'!H31</f>
        <v>41885153.5</v>
      </c>
      <c r="D12" s="109">
        <f t="shared" si="1"/>
        <v>0.10580000000000001</v>
      </c>
      <c r="E12" s="108">
        <f t="shared" si="0"/>
        <v>4431449.2403000006</v>
      </c>
      <c r="F12" s="108">
        <f>'[1]R-1 Schedule 250 Part A'!H9</f>
        <v>7522691</v>
      </c>
      <c r="G12" s="108">
        <f t="shared" si="2"/>
        <v>-3091241.7596999994</v>
      </c>
      <c r="H12" s="109">
        <f>'[1]Tax Rates'!E12</f>
        <v>0.25216229999999995</v>
      </c>
      <c r="I12" s="108">
        <f t="shared" si="3"/>
        <v>-4133573.0462639141</v>
      </c>
      <c r="J12" s="91"/>
      <c r="K12" s="106"/>
    </row>
    <row r="13" spans="1:11" x14ac:dyDescent="0.35">
      <c r="A13" s="91"/>
      <c r="B13" s="110" t="s">
        <v>84</v>
      </c>
      <c r="C13" s="108">
        <f>SUM(C6:C12)</f>
        <v>162587358</v>
      </c>
      <c r="D13" s="111"/>
      <c r="E13" s="108">
        <f>SUM(E6:E12)</f>
        <v>17201742.476400003</v>
      </c>
      <c r="F13" s="108">
        <f>SUM(F6:F12)</f>
        <v>23665815.113561824</v>
      </c>
      <c r="G13" s="108">
        <f>SUM(G6:G12)</f>
        <v>-6464072.637161823</v>
      </c>
      <c r="H13" s="112"/>
      <c r="I13" s="108">
        <f>SUM(I6:I12)</f>
        <v>-8636655.0289578214</v>
      </c>
      <c r="J13" s="91"/>
    </row>
    <row r="14" spans="1:11" x14ac:dyDescent="0.3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1" x14ac:dyDescent="0.3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1" x14ac:dyDescent="0.35">
      <c r="A16" s="91" t="s">
        <v>71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1:10" x14ac:dyDescent="0.35">
      <c r="A17" s="99" t="str">
        <f>"     Column C:  "&amp;'[1]Inputs from Decisions'!B1&amp;" R-1 Schedule 250 Part A."</f>
        <v xml:space="preserve">     Column C:  2022 R-1 Schedule 250 Part A.</v>
      </c>
      <c r="B17" s="91"/>
      <c r="C17" s="91"/>
      <c r="D17" s="91"/>
      <c r="E17" s="91"/>
      <c r="F17" s="91"/>
      <c r="G17" s="91"/>
      <c r="H17" s="91"/>
      <c r="I17" s="91"/>
      <c r="J17" s="91"/>
    </row>
    <row r="18" spans="1:10" x14ac:dyDescent="0.35">
      <c r="A18" s="99" t="str">
        <f>"     Column D:  EP 558 Sub "&amp;'[1]Inputs from Decisions'!B1-1996&amp;", Railroad Cost of Capital - "&amp;'[1]Inputs from Decisions'!B1&amp;"."</f>
        <v xml:space="preserve">     Column D:  EP 558 Sub 26, Railroad Cost of Capital - 2022.</v>
      </c>
      <c r="E18" s="113"/>
    </row>
    <row r="19" spans="1:10" x14ac:dyDescent="0.35">
      <c r="A19" s="99" t="str">
        <f>"     Column F:  "&amp;'[1]Inputs from Decisions'!B1&amp;" R-1 Schedule 250 Part A."</f>
        <v xml:space="preserve">     Column F:  2022 R-1 Schedule 250 Part A.</v>
      </c>
    </row>
    <row r="20" spans="1:10" x14ac:dyDescent="0.35">
      <c r="A20" s="99" t="str">
        <f>"     Column H:  '"&amp;'[1]Inputs from Decisions'!B1&amp;" Tax Rates' tab."</f>
        <v xml:space="preserve">     Column H:  '2022 Tax Rates' tab.</v>
      </c>
    </row>
  </sheetData>
  <sheetProtection algorithmName="SHA-512" hashValue="PAEAoFCFTGsweQ0w6XG6jVD/9FHsf54h7HVtKvsnNmlxXJH3w8qovaAb7Uta3xdWJ41U4+KU8ai9CRhgh7mh6w==" saltValue="6Zpz1R397X0a70ybnJZbO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303F7-EC7D-44D9-AFE5-3F10617CF933}">
  <dimension ref="A1:H25"/>
  <sheetViews>
    <sheetView workbookViewId="0">
      <selection sqref="A1:XFD1048576"/>
    </sheetView>
  </sheetViews>
  <sheetFormatPr defaultRowHeight="14.5" x14ac:dyDescent="0.35"/>
  <cols>
    <col min="2" max="2" width="10.7265625" customWidth="1"/>
    <col min="3" max="4" width="16.7265625" customWidth="1"/>
    <col min="5" max="5" width="12.7265625" customWidth="1"/>
    <col min="6" max="6" width="18.7265625" customWidth="1"/>
    <col min="7" max="7" width="12.7265625" customWidth="1"/>
  </cols>
  <sheetData>
    <row r="1" spans="1:7" ht="15.5" x14ac:dyDescent="0.35">
      <c r="A1" s="13" t="str">
        <f>'[1]Inputs from Decisions'!B1&amp;" RSAM Calculation"</f>
        <v>2022 RSAM Calculation</v>
      </c>
      <c r="B1" s="90"/>
      <c r="C1" s="90"/>
      <c r="D1" s="90"/>
      <c r="E1" s="90"/>
      <c r="F1" s="90"/>
      <c r="G1" s="90"/>
    </row>
    <row r="2" spans="1:7" x14ac:dyDescent="0.35">
      <c r="A2" s="91"/>
      <c r="B2" s="91"/>
      <c r="C2" s="91"/>
      <c r="D2" s="91"/>
      <c r="E2" s="91"/>
      <c r="F2" s="91"/>
      <c r="G2" s="91"/>
    </row>
    <row r="3" spans="1:7" x14ac:dyDescent="0.35">
      <c r="A3" s="92" t="s">
        <v>60</v>
      </c>
      <c r="B3" s="92" t="s">
        <v>61</v>
      </c>
      <c r="C3" s="92" t="s">
        <v>62</v>
      </c>
      <c r="D3" s="92" t="s">
        <v>63</v>
      </c>
      <c r="E3" s="92" t="s">
        <v>85</v>
      </c>
      <c r="F3" s="92" t="s">
        <v>74</v>
      </c>
      <c r="G3" s="92" t="s">
        <v>86</v>
      </c>
    </row>
    <row r="4" spans="1:7" x14ac:dyDescent="0.35">
      <c r="A4" s="91"/>
      <c r="B4" s="91"/>
      <c r="C4" s="114" t="s">
        <v>87</v>
      </c>
      <c r="D4" s="115"/>
      <c r="E4" s="91"/>
      <c r="F4" s="91"/>
      <c r="G4" s="91"/>
    </row>
    <row r="5" spans="1:7" ht="26.5" x14ac:dyDescent="0.35">
      <c r="A5" s="100" t="s">
        <v>65</v>
      </c>
      <c r="B5" s="101" t="s">
        <v>28</v>
      </c>
      <c r="C5" s="100" t="s">
        <v>88</v>
      </c>
      <c r="D5" s="100" t="s">
        <v>89</v>
      </c>
      <c r="E5" s="100" t="s">
        <v>90</v>
      </c>
      <c r="F5" s="102" t="s">
        <v>91</v>
      </c>
      <c r="G5" s="100" t="s">
        <v>92</v>
      </c>
    </row>
    <row r="6" spans="1:7" x14ac:dyDescent="0.35">
      <c r="A6" s="103">
        <v>103</v>
      </c>
      <c r="B6" s="103" t="s">
        <v>69</v>
      </c>
      <c r="C6" s="116">
        <f>VLOOKUP($A6,[1]RSAM_Class_I_Costs_and_Rev!$A$5:$I$11,9,FALSE)/1000</f>
        <v>2755858.0869999998</v>
      </c>
      <c r="D6" s="116">
        <f>VLOOKUP($A6,[1]RSAM_Class_I_Costs_and_Rev!$A$5:$I$11,5,FALSE)/1000</f>
        <v>957802.54799999995</v>
      </c>
      <c r="E6" s="117">
        <f t="shared" ref="E6:E12" si="0">C6/D6</f>
        <v>2.8772716179911435</v>
      </c>
      <c r="F6" s="116">
        <f>VLOOKUP($A6,'[1]Shortfall (Surplus)'!$A$6:$I$12,9,FALSE)</f>
        <v>261094.68297801397</v>
      </c>
      <c r="G6" s="117">
        <f>(C6+F6)/D6</f>
        <v>3.1498692254241258</v>
      </c>
    </row>
    <row r="7" spans="1:7" x14ac:dyDescent="0.35">
      <c r="A7" s="107">
        <v>105</v>
      </c>
      <c r="B7" s="107" t="s">
        <v>70</v>
      </c>
      <c r="C7" s="108">
        <f>VLOOKUP($A7,[1]RSAM_Class_I_Costs_and_Rev!$A$5:$I$11,9,FALSE)/1000</f>
        <v>1111311.7960000001</v>
      </c>
      <c r="D7" s="108">
        <f>VLOOKUP($A7,[1]RSAM_Class_I_Costs_and_Rev!$A$5:$I$11,5,FALSE)/1000</f>
        <v>446313.71100000001</v>
      </c>
      <c r="E7" s="118">
        <f t="shared" si="0"/>
        <v>2.489979063179621</v>
      </c>
      <c r="F7" s="108">
        <f>VLOOKUP($A7,'[1]Shortfall (Surplus)'!$A$6:$I$12,9,FALSE)</f>
        <v>-148173.4357619443</v>
      </c>
      <c r="G7" s="118">
        <f t="shared" ref="G7:G12" si="1">(C7+F7)/D7</f>
        <v>2.1579851492352109</v>
      </c>
    </row>
    <row r="8" spans="1:7" x14ac:dyDescent="0.35">
      <c r="A8" s="107">
        <v>400</v>
      </c>
      <c r="B8" s="107" t="s">
        <v>6</v>
      </c>
      <c r="C8" s="108">
        <f>VLOOKUP($A8,[1]RSAM_Class_I_Costs_and_Rev!$A$5:$I$11,9,FALSE)/1000</f>
        <v>512996.875</v>
      </c>
      <c r="D8" s="108">
        <f>VLOOKUP($A8,[1]RSAM_Class_I_Costs_and_Rev!$A$5:$I$11,5,FALSE)/1000</f>
        <v>210230.39300000001</v>
      </c>
      <c r="E8" s="118">
        <f t="shared" si="0"/>
        <v>2.4401651334971342</v>
      </c>
      <c r="F8" s="108">
        <f>VLOOKUP($A8,'[1]Shortfall (Surplus)'!$A$6:$I$12,9,FALSE)</f>
        <v>89623.704452614198</v>
      </c>
      <c r="G8" s="118">
        <f t="shared" si="1"/>
        <v>2.8664769677361264</v>
      </c>
    </row>
    <row r="9" spans="1:7" x14ac:dyDescent="0.35">
      <c r="A9" s="107">
        <v>555</v>
      </c>
      <c r="B9" s="107" t="s">
        <v>7</v>
      </c>
      <c r="C9" s="108">
        <f>VLOOKUP($A9,[1]RSAM_Class_I_Costs_and_Rev!$A$5:$I$11,9,FALSE)/1000</f>
        <v>5610313.2929999996</v>
      </c>
      <c r="D9" s="108">
        <f>VLOOKUP($A9,[1]RSAM_Class_I_Costs_and_Rev!$A$5:$I$11,5,FALSE)/1000</f>
        <v>2206625.0210000002</v>
      </c>
      <c r="E9" s="118">
        <f t="shared" si="0"/>
        <v>2.5424860316582079</v>
      </c>
      <c r="F9" s="108">
        <f>VLOOKUP($A9,'[1]Shortfall (Surplus)'!$A$6:$I$12,9,FALSE)</f>
        <v>-1297802.6872245511</v>
      </c>
      <c r="G9" s="118">
        <f t="shared" si="1"/>
        <v>1.9543468259147634</v>
      </c>
    </row>
    <row r="10" spans="1:7" x14ac:dyDescent="0.35">
      <c r="A10" s="107">
        <v>712</v>
      </c>
      <c r="B10" s="107" t="s">
        <v>8</v>
      </c>
      <c r="C10" s="108">
        <f>VLOOKUP($A10,[1]RSAM_Class_I_Costs_and_Rev!$A$5:$I$11,9,FALSE)/1000</f>
        <v>5939304.7390000001</v>
      </c>
      <c r="D10" s="108">
        <f>VLOOKUP($A10,[1]RSAM_Class_I_Costs_and_Rev!$A$5:$I$11,5,FALSE)/1000</f>
        <v>2113669.963</v>
      </c>
      <c r="E10" s="118">
        <f t="shared" si="0"/>
        <v>2.8099489716786974</v>
      </c>
      <c r="F10" s="108">
        <f>VLOOKUP($A10,'[1]Shortfall (Surplus)'!$A$6:$I$12,9,FALSE)</f>
        <v>-1837497.1619400689</v>
      </c>
      <c r="G10" s="118">
        <f t="shared" si="1"/>
        <v>1.9406092951418505</v>
      </c>
    </row>
    <row r="11" spans="1:7" x14ac:dyDescent="0.35">
      <c r="A11" s="107">
        <v>777</v>
      </c>
      <c r="B11" s="107" t="s">
        <v>9</v>
      </c>
      <c r="C11" s="108">
        <f>VLOOKUP($A11,[1]RSAM_Class_I_Costs_and_Rev!$A$5:$I$11,9,FALSE)/1000</f>
        <v>8022327.8849999998</v>
      </c>
      <c r="D11" s="108">
        <f>VLOOKUP($A11,[1]RSAM_Class_I_Costs_and_Rev!$A$5:$I$11,5,FALSE)/1000</f>
        <v>3552969.304</v>
      </c>
      <c r="E11" s="118">
        <f t="shared" si="0"/>
        <v>2.2579220923660421</v>
      </c>
      <c r="F11" s="108">
        <f>VLOOKUP($A11,'[1]Shortfall (Surplus)'!$A$6:$I$12,9,FALSE)</f>
        <v>-1570327.085197971</v>
      </c>
      <c r="G11" s="118">
        <f t="shared" si="1"/>
        <v>1.8159461137303505</v>
      </c>
    </row>
    <row r="12" spans="1:7" x14ac:dyDescent="0.35">
      <c r="A12" s="107">
        <v>802</v>
      </c>
      <c r="B12" s="107" t="s">
        <v>10</v>
      </c>
      <c r="C12" s="108">
        <f>VLOOKUP($A12,[1]RSAM_Class_I_Costs_and_Rev!$A$5:$I$11,9,FALSE)/1000</f>
        <v>14142898.889</v>
      </c>
      <c r="D12" s="108">
        <f>VLOOKUP($A12,[1]RSAM_Class_I_Costs_and_Rev!$A$5:$I$11,5,FALSE)/1000</f>
        <v>5715350.801</v>
      </c>
      <c r="E12" s="118">
        <f t="shared" si="0"/>
        <v>2.4745460744991288</v>
      </c>
      <c r="F12" s="108">
        <f>VLOOKUP($A12,'[1]Shortfall (Surplus)'!$A$6:$I$12,9,FALSE)</f>
        <v>-4133573.0462639141</v>
      </c>
      <c r="G12" s="118">
        <f t="shared" si="1"/>
        <v>1.7513055963222381</v>
      </c>
    </row>
    <row r="14" spans="1:7" x14ac:dyDescent="0.35">
      <c r="F14" s="119"/>
    </row>
    <row r="15" spans="1:7" x14ac:dyDescent="0.35">
      <c r="A15" t="s">
        <v>71</v>
      </c>
    </row>
    <row r="16" spans="1:7" x14ac:dyDescent="0.35">
      <c r="A16" s="99" t="str">
        <f>"     Column C:  "&amp;'[1]Inputs from Decisions'!B1&amp;" Carload Waybill Sample."</f>
        <v xml:space="preserve">     Column C:  2022 Carload Waybill Sample.</v>
      </c>
    </row>
    <row r="17" spans="1:8" x14ac:dyDescent="0.35">
      <c r="A17" s="99" t="str">
        <f>"     Column D:  "&amp;'[1]Inputs from Decisions'!B1&amp;" Carload Waybill Sample."</f>
        <v xml:space="preserve">     Column D:  2022 Carload Waybill Sample.</v>
      </c>
    </row>
    <row r="18" spans="1:8" x14ac:dyDescent="0.35">
      <c r="A18" s="99" t="str">
        <f>"     Column F:  '"&amp;'[1]Inputs from Decisions'!B1&amp;" Shortfall (Surplus)' tab."</f>
        <v xml:space="preserve">     Column F:  '2022 Shortfall (Surplus)' tab.</v>
      </c>
    </row>
    <row r="19" spans="1:8" x14ac:dyDescent="0.35">
      <c r="C19" s="120"/>
      <c r="D19" s="120"/>
    </row>
    <row r="20" spans="1:8" x14ac:dyDescent="0.35">
      <c r="A20" s="121"/>
      <c r="B20" s="121"/>
      <c r="C20" s="121"/>
      <c r="D20" s="121"/>
      <c r="E20" s="121"/>
      <c r="F20" s="121"/>
      <c r="G20" s="121"/>
      <c r="H20" s="121"/>
    </row>
    <row r="21" spans="1:8" x14ac:dyDescent="0.35">
      <c r="A21" s="121"/>
      <c r="B21" s="121"/>
      <c r="C21" s="121"/>
      <c r="D21" s="121"/>
      <c r="E21" s="121"/>
      <c r="F21" s="121"/>
      <c r="G21" s="121"/>
      <c r="H21" s="121"/>
    </row>
    <row r="22" spans="1:8" x14ac:dyDescent="0.35">
      <c r="A22" s="121"/>
      <c r="B22" s="121"/>
      <c r="C22" s="121"/>
      <c r="D22" s="121"/>
      <c r="E22" s="121"/>
      <c r="F22" s="121"/>
      <c r="G22" s="121"/>
      <c r="H22" s="121"/>
    </row>
    <row r="23" spans="1:8" x14ac:dyDescent="0.35">
      <c r="A23" s="121"/>
      <c r="B23" s="121"/>
      <c r="C23" s="121"/>
      <c r="D23" s="121"/>
      <c r="E23" s="121"/>
      <c r="F23" s="121"/>
      <c r="G23" s="121"/>
      <c r="H23" s="121"/>
    </row>
    <row r="24" spans="1:8" x14ac:dyDescent="0.35">
      <c r="A24" s="121"/>
      <c r="B24" s="121"/>
      <c r="C24" s="121"/>
      <c r="D24" s="121"/>
      <c r="E24" s="121"/>
      <c r="F24" s="121"/>
      <c r="G24" s="121"/>
      <c r="H24" s="121"/>
    </row>
    <row r="25" spans="1:8" x14ac:dyDescent="0.35">
      <c r="A25" s="121"/>
      <c r="B25" s="121"/>
      <c r="C25" s="121"/>
      <c r="D25" s="121"/>
      <c r="E25" s="121"/>
      <c r="F25" s="121"/>
      <c r="G25" s="121"/>
      <c r="H25" s="121"/>
    </row>
  </sheetData>
  <sheetProtection algorithmName="SHA-512" hashValue="C9SqdrU/blYZfA4sd1FZI95clBWkjIcesFHiTsukfWWcCztSvGYHEey0M0MDTPLFwxrm1UfZRy88VqfaS1X+sQ==" saltValue="jHHnlEqPolvCPW1bdeusV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Inputs from Decisions</vt:lpstr>
      <vt:lpstr>RSAM_Class_I_Costs_and_Rev</vt:lpstr>
      <vt:lpstr>R-1 Schedule 250 Part A</vt:lpstr>
      <vt:lpstr>Tax Rates</vt:lpstr>
      <vt:lpstr>Shortfall (Surplus)</vt:lpstr>
      <vt:lpstr>RSAM</vt:lpstr>
    </vt:vector>
  </TitlesOfParts>
  <Company>STB Office Deployment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Smith-Bozek, Jennifer</dc:creator>
  <cp:lastModifiedBy>Smith-Bozek, Jennifer</cp:lastModifiedBy>
  <dcterms:created xsi:type="dcterms:W3CDTF">2024-03-25T15:39:41Z</dcterms:created>
  <dcterms:modified xsi:type="dcterms:W3CDTF">2024-04-03T13:36:46Z</dcterms:modified>
</cp:coreProperties>
</file>