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WIP-HC(WaybillData)\WIP\Routine Study Prototypes\RSAM and All Stratification\RSAM\2020\JSB\"/>
    </mc:Choice>
  </mc:AlternateContent>
  <xr:revisionPtr revIDLastSave="0" documentId="13_ncr:1_{35F94B80-1AC4-4309-B42A-EAFC142E6C12}" xr6:coauthVersionLast="46" xr6:coauthVersionMax="46" xr10:uidLastSave="{00000000-0000-0000-0000-000000000000}"/>
  <bookViews>
    <workbookView xWindow="-110" yWindow="-110" windowWidth="19420" windowHeight="10420" firstSheet="1" activeTab="2" xr2:uid="{00000000-000D-0000-FFFF-FFFF00000000}"/>
  </bookViews>
  <sheets>
    <sheet name="RSAM" sheetId="19" r:id="rId1"/>
    <sheet name="Table 1 - RSAM" sheetId="9" r:id="rId2"/>
    <sheet name="Table 2 - RVC&gt;180" sheetId="10" r:id="rId3"/>
    <sheet name="RSAM 2020" sheetId="16" r:id="rId4"/>
    <sheet name="RSAM 2019" sheetId="15" r:id="rId5"/>
    <sheet name="RSAM 2018" sheetId="18" r:id="rId6"/>
    <sheet name="RSAM 2017" sheetId="17" r:id="rId7"/>
  </sheets>
  <externalReferences>
    <externalReference r:id="rId8"/>
  </externalReferences>
  <definedNames>
    <definedName name="RSAM_2005_Costs_and_Revenues_for_Class_I_RR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8" i="16" l="1"/>
  <c r="A17" i="16"/>
  <c r="A16" i="16"/>
  <c r="F12" i="16"/>
  <c r="D12" i="16"/>
  <c r="C12" i="16"/>
  <c r="F11" i="16"/>
  <c r="D11" i="16"/>
  <c r="C11" i="16"/>
  <c r="F10" i="16"/>
  <c r="D10" i="16"/>
  <c r="C10" i="16"/>
  <c r="F9" i="16"/>
  <c r="D9" i="16"/>
  <c r="C9" i="16"/>
  <c r="G9" i="16" s="1"/>
  <c r="F8" i="16"/>
  <c r="D8" i="16"/>
  <c r="C8" i="16"/>
  <c r="E8" i="16" s="1"/>
  <c r="F7" i="16"/>
  <c r="D7" i="16"/>
  <c r="C7" i="16"/>
  <c r="F6" i="16"/>
  <c r="D6" i="16"/>
  <c r="C6" i="16"/>
  <c r="A1" i="16"/>
  <c r="G8" i="16" l="1"/>
  <c r="G12" i="16"/>
  <c r="E6" i="16"/>
  <c r="E10" i="16"/>
  <c r="G6" i="16"/>
  <c r="G7" i="16"/>
  <c r="G11" i="16"/>
  <c r="G10" i="16"/>
  <c r="E7" i="16"/>
  <c r="E12" i="16"/>
  <c r="E9" i="16"/>
  <c r="E11" i="16"/>
  <c r="E6" i="10" l="1"/>
  <c r="F6" i="10"/>
  <c r="G6" i="10"/>
  <c r="D6" i="10"/>
  <c r="C6" i="10" s="1"/>
  <c r="E7" i="10"/>
  <c r="F7" i="10"/>
  <c r="G7" i="10"/>
  <c r="D7" i="10"/>
  <c r="C7" i="10" s="1"/>
  <c r="E8" i="10"/>
  <c r="F8" i="10"/>
  <c r="G8" i="10"/>
  <c r="D8" i="10"/>
  <c r="C8" i="10" s="1"/>
  <c r="E9" i="10"/>
  <c r="F9" i="10"/>
  <c r="G9" i="10"/>
  <c r="D9" i="10"/>
  <c r="C9" i="10" s="1"/>
  <c r="E10" i="10"/>
  <c r="F10" i="10"/>
  <c r="G10" i="10"/>
  <c r="D10" i="10"/>
  <c r="C10" i="10" s="1"/>
  <c r="E11" i="10"/>
  <c r="F11" i="10"/>
  <c r="G11" i="10"/>
  <c r="D11" i="10"/>
  <c r="C11" i="10" s="1"/>
  <c r="F5" i="9" l="1"/>
  <c r="G4" i="10" l="1"/>
  <c r="G16" i="10" s="1"/>
  <c r="G5" i="10"/>
  <c r="G4" i="9"/>
  <c r="G16" i="9" s="1"/>
  <c r="G11" i="9"/>
  <c r="G10" i="9"/>
  <c r="G9" i="9"/>
  <c r="G8" i="9"/>
  <c r="G7" i="9"/>
  <c r="G6" i="9"/>
  <c r="G5" i="9"/>
  <c r="G18" i="9" l="1"/>
  <c r="G19" i="9"/>
  <c r="G21" i="9"/>
  <c r="G23" i="9"/>
  <c r="G24" i="9"/>
  <c r="G20" i="9"/>
  <c r="G22" i="9"/>
  <c r="G19" i="10"/>
  <c r="G21" i="10"/>
  <c r="G20" i="10"/>
  <c r="G23" i="10"/>
  <c r="G18" i="10"/>
  <c r="G24" i="10"/>
  <c r="G22" i="10"/>
  <c r="D5" i="10"/>
  <c r="C5" i="10" s="1"/>
  <c r="D4" i="9"/>
  <c r="D4" i="10"/>
  <c r="D16" i="10" s="1"/>
  <c r="D18" i="10" l="1"/>
  <c r="D22" i="10"/>
  <c r="D19" i="10"/>
  <c r="D23" i="10"/>
  <c r="D20" i="10"/>
  <c r="D24" i="10"/>
  <c r="D21" i="10"/>
  <c r="D5" i="9" l="1"/>
  <c r="C5" i="9" s="1"/>
  <c r="F4" i="10"/>
  <c r="F4" i="9"/>
  <c r="B2" i="10"/>
  <c r="B2" i="9"/>
  <c r="E4" i="9" l="1"/>
  <c r="E16" i="9" s="1"/>
  <c r="E4" i="10"/>
  <c r="F16" i="9"/>
  <c r="F16" i="10"/>
  <c r="F8" i="9" l="1"/>
  <c r="F21" i="9" s="1"/>
  <c r="F22" i="10" l="1"/>
  <c r="F6" i="9"/>
  <c r="F19" i="9" s="1"/>
  <c r="F5" i="10"/>
  <c r="F7" i="9"/>
  <c r="F20" i="9" s="1"/>
  <c r="F10" i="9"/>
  <c r="F23" i="9" s="1"/>
  <c r="F9" i="9"/>
  <c r="F22" i="9" s="1"/>
  <c r="F11" i="9"/>
  <c r="F24" i="9" s="1"/>
  <c r="F18" i="10" l="1"/>
  <c r="F24" i="10"/>
  <c r="F23" i="10"/>
  <c r="F19" i="10"/>
  <c r="F21" i="10"/>
  <c r="F20" i="10"/>
  <c r="F18" i="9"/>
  <c r="D8" i="9" l="1"/>
  <c r="C8" i="9" s="1"/>
  <c r="D9" i="9"/>
  <c r="C9" i="9" s="1"/>
  <c r="D22" i="9" l="1"/>
  <c r="D21" i="9"/>
  <c r="D11" i="9"/>
  <c r="C11" i="9" s="1"/>
  <c r="D7" i="9"/>
  <c r="C7" i="9" s="1"/>
  <c r="D10" i="9"/>
  <c r="C10" i="9" s="1"/>
  <c r="D6" i="9"/>
  <c r="C6" i="9" s="1"/>
  <c r="D16" i="9"/>
  <c r="E16" i="10"/>
  <c r="D19" i="9" l="1"/>
  <c r="D23" i="9"/>
  <c r="D20" i="9"/>
  <c r="D24" i="9"/>
  <c r="D18" i="9"/>
  <c r="E11" i="9"/>
  <c r="E5" i="9"/>
  <c r="E6" i="9"/>
  <c r="E9" i="9"/>
  <c r="E8" i="9"/>
  <c r="E10" i="9"/>
  <c r="E7" i="9"/>
  <c r="C18" i="9" l="1"/>
  <c r="C22" i="9"/>
  <c r="E22" i="9"/>
  <c r="C19" i="9"/>
  <c r="E19" i="9"/>
  <c r="C20" i="9"/>
  <c r="E20" i="9"/>
  <c r="C21" i="9"/>
  <c r="E21" i="9"/>
  <c r="E18" i="9"/>
  <c r="C23" i="9"/>
  <c r="E23" i="9"/>
  <c r="C24" i="9"/>
  <c r="E24" i="9"/>
  <c r="E5" i="10"/>
  <c r="C19" i="10" l="1"/>
  <c r="E19" i="10"/>
  <c r="C20" i="10"/>
  <c r="E20" i="10"/>
  <c r="C24" i="10"/>
  <c r="E24" i="10"/>
  <c r="E18" i="10"/>
  <c r="C22" i="10"/>
  <c r="E22" i="10"/>
  <c r="C23" i="10"/>
  <c r="E23" i="10"/>
  <c r="C21" i="10"/>
  <c r="E21" i="10"/>
  <c r="C18" i="10" l="1"/>
</calcChain>
</file>

<file path=xl/sharedStrings.xml><?xml version="1.0" encoding="utf-8"?>
<sst xmlns="http://schemas.openxmlformats.org/spreadsheetml/2006/main" count="147" uniqueCount="44">
  <si>
    <t>KCS</t>
  </si>
  <si>
    <t>NS</t>
  </si>
  <si>
    <t>CSXT</t>
  </si>
  <si>
    <t>BNSF</t>
  </si>
  <si>
    <t>UP</t>
  </si>
  <si>
    <t>(A)</t>
  </si>
  <si>
    <t>(B)</t>
  </si>
  <si>
    <t>(C)</t>
  </si>
  <si>
    <t>CN/GTC</t>
  </si>
  <si>
    <t>CP/SOO</t>
  </si>
  <si>
    <t>RR No.</t>
  </si>
  <si>
    <t>Railroad</t>
  </si>
  <si>
    <t>Revenue</t>
  </si>
  <si>
    <t>Variable Costs</t>
  </si>
  <si>
    <t>RVC GE 180</t>
  </si>
  <si>
    <t>(D)</t>
  </si>
  <si>
    <t>(E)=(C)/(D)</t>
  </si>
  <si>
    <t>(F)</t>
  </si>
  <si>
    <t>SOO</t>
  </si>
  <si>
    <t>RSAM</t>
  </si>
  <si>
    <t>(G)=[(C)+(F)]/(D)</t>
  </si>
  <si>
    <t>Source(s):</t>
  </si>
  <si>
    <t>Table 1</t>
  </si>
  <si>
    <t>4-Year
Average</t>
  </si>
  <si>
    <t>GTC</t>
  </si>
  <si>
    <t>RVC&gt;180</t>
  </si>
  <si>
    <t>Table 2</t>
  </si>
  <si>
    <t>Tax-Adj Shortfall (Surplus)</t>
  </si>
  <si>
    <t>4-Year</t>
  </si>
  <si>
    <t>Average</t>
  </si>
  <si>
    <t>Contents of Decision</t>
  </si>
  <si>
    <t>Year for RSAM Study</t>
  </si>
  <si>
    <t>2017 RSAM Calculation</t>
  </si>
  <si>
    <t xml:space="preserve">     Column C:  2017 Carload Waybill Sample.</t>
  </si>
  <si>
    <t xml:space="preserve">     Column D:  2017 Carload Waybill Sample.</t>
  </si>
  <si>
    <t xml:space="preserve">     Column F:  '2017 Shortfall (Surplus)' tab.</t>
  </si>
  <si>
    <t>2018 RSAM Calculation</t>
  </si>
  <si>
    <t xml:space="preserve">     Column C:  2018 Carload Waybill Sample.</t>
  </si>
  <si>
    <t xml:space="preserve">     Column D:  2018 Carload Waybill Sample.</t>
  </si>
  <si>
    <t xml:space="preserve">     Column F:  '2018 Shortfall (Surplus)' tab.</t>
  </si>
  <si>
    <t>2019 RSAM Calculation</t>
  </si>
  <si>
    <t xml:space="preserve">     Column C:  2019 Carload Waybill Sample.</t>
  </si>
  <si>
    <t xml:space="preserve">     Column D:  2019 Carload Waybill Sample.</t>
  </si>
  <si>
    <t xml:space="preserve">     Column F:  '2019 Shortfall (Surplus)' tab.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</si>
</sst>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(&quot;$&quot;* #,##0_);_(&quot;$&quot;* \(#,##0\);_(&quot;$&quot;* &quot;-&quot;_);_(@_)"/>
  </numFmts>
  <fonts count="14" x14ac:knownFonts="1">
    <font>
      <sz val="10"/>
      <name val="MS Sans Serif"/>
    </font>
    <font>
      <b/>
      <sz val="10"/>
      <name val="MS Sans Serif"/>
      <family val="2"/>
    </font>
    <font>
      <sz val="8.5"/>
      <name val="MS Sans Serif"/>
      <family val="2"/>
    </font>
    <font>
      <b/>
      <sz val="12"/>
      <name val="MS Sans Serif"/>
      <family val="2"/>
    </font>
    <font>
      <sz val="8"/>
      <name val="MS Sans Serif"/>
      <family val="2"/>
    </font>
    <font>
      <sz val="10"/>
      <name val="MS Sans Serif"/>
      <family val="2"/>
    </font>
    <font>
      <sz val="10"/>
      <color theme="4"/>
      <name val="MS Sans Serif"/>
      <family val="2"/>
    </font>
    <font>
      <sz val="10"/>
      <color rgb="FFFF0000"/>
      <name val="MS Sans Serif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MS Sans Serif"/>
    </font>
    <font>
      <sz val="12"/>
      <color rgb="FFFF0000"/>
      <name val="Times New Roman"/>
      <family val="1"/>
    </font>
    <font>
      <sz val="10"/>
      <name val="MS Sans Serif"/>
    </font>
    <font>
      <sz val="10"/>
      <color theme="4"/>
      <name val="MS Sans Serif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22"/>
      </left>
      <right/>
      <top style="thin">
        <color indexed="64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64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2" fillId="0" borderId="0" applyFont="0" applyFill="0" applyBorder="0" applyAlignment="0" applyProtection="0"/>
  </cellStyleXfs>
  <cellXfs count="61">
    <xf numFmtId="0" fontId="0" fillId="0" borderId="0" xfId="0"/>
    <xf numFmtId="0" fontId="1" fillId="0" borderId="2" xfId="0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1" fillId="0" borderId="4" xfId="0" quotePrefix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4" xfId="0" applyFont="1" applyBorder="1" applyAlignment="1">
      <alignment horizontal="center" wrapText="1"/>
    </xf>
    <xf numFmtId="0" fontId="3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0" xfId="0" applyFont="1"/>
    <xf numFmtId="0" fontId="5" fillId="0" borderId="3" xfId="0" applyFont="1" applyBorder="1" applyAlignment="1">
      <alignment horizontal="centerContinuous"/>
    </xf>
    <xf numFmtId="0" fontId="5" fillId="0" borderId="5" xfId="0" quotePrefix="1" applyFont="1" applyBorder="1" applyAlignment="1">
      <alignment horizontal="center"/>
    </xf>
    <xf numFmtId="42" fontId="5" fillId="0" borderId="6" xfId="0" applyNumberFormat="1" applyFont="1" applyBorder="1"/>
    <xf numFmtId="9" fontId="5" fillId="0" borderId="5" xfId="0" applyNumberFormat="1" applyFont="1" applyBorder="1" applyAlignment="1">
      <alignment horizontal="center"/>
    </xf>
    <xf numFmtId="0" fontId="5" fillId="0" borderId="1" xfId="0" quotePrefix="1" applyFont="1" applyBorder="1" applyAlignment="1">
      <alignment horizontal="center"/>
    </xf>
    <xf numFmtId="42" fontId="5" fillId="0" borderId="1" xfId="0" applyNumberFormat="1" applyFont="1" applyBorder="1"/>
    <xf numFmtId="9" fontId="5" fillId="0" borderId="1" xfId="0" applyNumberFormat="1" applyFont="1" applyBorder="1" applyAlignment="1">
      <alignment horizontal="center"/>
    </xf>
    <xf numFmtId="0" fontId="6" fillId="0" borderId="0" xfId="0" applyFont="1"/>
    <xf numFmtId="0" fontId="5" fillId="0" borderId="0" xfId="0" quotePrefix="1" applyFont="1"/>
    <xf numFmtId="9" fontId="0" fillId="0" borderId="0" xfId="0" applyNumberFormat="1"/>
    <xf numFmtId="0" fontId="7" fillId="0" borderId="0" xfId="0" applyFont="1"/>
    <xf numFmtId="0" fontId="5" fillId="0" borderId="0" xfId="0" applyFont="1" applyAlignment="1">
      <alignment horizontal="center"/>
    </xf>
    <xf numFmtId="0" fontId="9" fillId="0" borderId="8" xfId="0" applyFont="1" applyBorder="1" applyAlignment="1">
      <alignment horizontal="center" vertical="top" wrapText="1"/>
    </xf>
    <xf numFmtId="9" fontId="9" fillId="0" borderId="10" xfId="0" applyNumberFormat="1" applyFont="1" applyBorder="1" applyAlignment="1">
      <alignment horizontal="center" vertical="top" wrapText="1"/>
    </xf>
    <xf numFmtId="0" fontId="9" fillId="0" borderId="0" xfId="0" applyFont="1"/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9" fontId="5" fillId="0" borderId="15" xfId="0" applyNumberFormat="1" applyFont="1" applyBorder="1" applyAlignment="1">
      <alignment horizontal="center"/>
    </xf>
    <xf numFmtId="9" fontId="5" fillId="0" borderId="16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 wrapText="1"/>
    </xf>
    <xf numFmtId="9" fontId="5" fillId="0" borderId="0" xfId="0" applyNumberFormat="1" applyFont="1" applyAlignment="1">
      <alignment horizontal="center"/>
    </xf>
    <xf numFmtId="0" fontId="0" fillId="0" borderId="11" xfId="0" applyBorder="1"/>
    <xf numFmtId="0" fontId="10" fillId="2" borderId="12" xfId="0" applyFont="1" applyFill="1" applyBorder="1"/>
    <xf numFmtId="0" fontId="1" fillId="0" borderId="0" xfId="0" applyFont="1" applyAlignment="1">
      <alignment horizontal="center" wrapText="1"/>
    </xf>
    <xf numFmtId="9" fontId="9" fillId="0" borderId="0" xfId="0" applyNumberFormat="1" applyFont="1" applyAlignment="1">
      <alignment horizontal="center" vertical="top" wrapText="1"/>
    </xf>
    <xf numFmtId="0" fontId="7" fillId="0" borderId="0" xfId="0" applyFont="1" applyFill="1" applyAlignment="1">
      <alignment horizontal="centerContinuous"/>
    </xf>
    <xf numFmtId="0" fontId="7" fillId="0" borderId="0" xfId="0" applyFont="1" applyFill="1"/>
    <xf numFmtId="0" fontId="1" fillId="0" borderId="4" xfId="0" applyFont="1" applyFill="1" applyBorder="1" applyAlignment="1">
      <alignment horizontal="center" wrapText="1"/>
    </xf>
    <xf numFmtId="9" fontId="5" fillId="0" borderId="13" xfId="0" applyNumberFormat="1" applyFont="1" applyFill="1" applyBorder="1" applyAlignment="1">
      <alignment horizontal="center"/>
    </xf>
    <xf numFmtId="9" fontId="5" fillId="0" borderId="14" xfId="0" applyNumberFormat="1" applyFont="1" applyFill="1" applyBorder="1" applyAlignment="1">
      <alignment horizontal="center"/>
    </xf>
    <xf numFmtId="0" fontId="5" fillId="0" borderId="0" xfId="0" applyFont="1" applyFill="1"/>
    <xf numFmtId="9" fontId="9" fillId="0" borderId="10" xfId="0" applyNumberFormat="1" applyFont="1" applyFill="1" applyBorder="1" applyAlignment="1">
      <alignment horizontal="center" vertical="top" wrapText="1"/>
    </xf>
    <xf numFmtId="0" fontId="11" fillId="0" borderId="0" xfId="0" applyFont="1" applyFill="1"/>
    <xf numFmtId="0" fontId="9" fillId="0" borderId="0" xfId="0" applyFont="1" applyFill="1"/>
    <xf numFmtId="9" fontId="9" fillId="0" borderId="8" xfId="0" applyNumberFormat="1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center"/>
    </xf>
    <xf numFmtId="0" fontId="5" fillId="0" borderId="0" xfId="0" applyFont="1" applyAlignment="1"/>
    <xf numFmtId="0" fontId="1" fillId="0" borderId="0" xfId="0" applyFont="1" applyAlignment="1"/>
    <xf numFmtId="9" fontId="0" fillId="0" borderId="0" xfId="1" applyFont="1"/>
    <xf numFmtId="0" fontId="13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8" fillId="3" borderId="7" xfId="0" applyFont="1" applyFill="1" applyBorder="1" applyAlignment="1">
      <alignment horizontal="center" vertical="top" wrapText="1"/>
    </xf>
    <xf numFmtId="0" fontId="8" fillId="3" borderId="9" xfId="0" applyFont="1" applyFill="1" applyBorder="1" applyAlignment="1">
      <alignment horizontal="center" vertical="top" wrapText="1"/>
    </xf>
    <xf numFmtId="0" fontId="8" fillId="3" borderId="8" xfId="0" applyFont="1" applyFill="1" applyBorder="1" applyAlignment="1">
      <alignment horizontal="center" vertical="top" wrapText="1"/>
    </xf>
    <xf numFmtId="0" fontId="8" fillId="3" borderId="10" xfId="0" applyFont="1" applyFill="1" applyBorder="1" applyAlignment="1">
      <alignment horizontal="center" vertical="top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SAM%20Computation_2020_Lock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 from Decisions"/>
      <sheetName val="RSAM_Class_I_Costs_and_Rev"/>
      <sheetName val="R-1 Schedule 250 Part A"/>
      <sheetName val="Tax Rates"/>
      <sheetName val="Shortfall (Surplus)"/>
      <sheetName val="RSAM"/>
    </sheetNames>
    <sheetDataSet>
      <sheetData sheetId="0">
        <row r="1">
          <cell r="B1">
            <v>2020</v>
          </cell>
        </row>
      </sheetData>
      <sheetData sheetId="1">
        <row r="5">
          <cell r="A5">
            <v>103</v>
          </cell>
          <cell r="B5" t="str">
            <v>CN/GTC</v>
          </cell>
          <cell r="C5">
            <v>331110258</v>
          </cell>
          <cell r="D5">
            <v>709467613</v>
          </cell>
          <cell r="E5">
            <v>624449685</v>
          </cell>
          <cell r="F5">
            <v>1665027556</v>
          </cell>
          <cell r="G5">
            <v>222890070</v>
          </cell>
          <cell r="H5">
            <v>964650494</v>
          </cell>
          <cell r="I5">
            <v>1716101161</v>
          </cell>
          <cell r="J5">
            <v>2903641725</v>
          </cell>
        </row>
        <row r="6">
          <cell r="A6">
            <v>105</v>
          </cell>
          <cell r="B6" t="str">
            <v>CP/SOO</v>
          </cell>
          <cell r="C6">
            <v>73797728</v>
          </cell>
          <cell r="D6">
            <v>283170642</v>
          </cell>
          <cell r="E6">
            <v>388579892</v>
          </cell>
          <cell r="F6">
            <v>745548262</v>
          </cell>
          <cell r="G6">
            <v>57502006</v>
          </cell>
          <cell r="H6">
            <v>413974015</v>
          </cell>
          <cell r="I6">
            <v>1035484821</v>
          </cell>
          <cell r="J6">
            <v>1506960842</v>
          </cell>
        </row>
        <row r="7">
          <cell r="A7">
            <v>400</v>
          </cell>
          <cell r="B7" t="str">
            <v>KCS</v>
          </cell>
          <cell r="C7">
            <v>281611431</v>
          </cell>
          <cell r="D7">
            <v>317409503</v>
          </cell>
          <cell r="E7">
            <v>204359924</v>
          </cell>
          <cell r="F7">
            <v>803380858</v>
          </cell>
          <cell r="G7">
            <v>183218534</v>
          </cell>
          <cell r="H7">
            <v>446013358</v>
          </cell>
          <cell r="I7">
            <v>503567542</v>
          </cell>
          <cell r="J7">
            <v>1132799434</v>
          </cell>
        </row>
        <row r="8">
          <cell r="A8">
            <v>555</v>
          </cell>
          <cell r="B8" t="str">
            <v>NS</v>
          </cell>
          <cell r="C8">
            <v>821633165</v>
          </cell>
          <cell r="D8">
            <v>2944246731</v>
          </cell>
          <cell r="E8">
            <v>1884663067</v>
          </cell>
          <cell r="F8">
            <v>5650542963</v>
          </cell>
          <cell r="G8">
            <v>606857343</v>
          </cell>
          <cell r="H8">
            <v>4064987399</v>
          </cell>
          <cell r="I8">
            <v>4712389259</v>
          </cell>
          <cell r="J8">
            <v>9384234001</v>
          </cell>
        </row>
        <row r="9">
          <cell r="A9">
            <v>712</v>
          </cell>
          <cell r="B9" t="str">
            <v>CSXT</v>
          </cell>
          <cell r="C9">
            <v>1503823355</v>
          </cell>
          <cell r="D9">
            <v>2282864455</v>
          </cell>
          <cell r="E9">
            <v>1659176645</v>
          </cell>
          <cell r="F9">
            <v>5445864455</v>
          </cell>
          <cell r="G9">
            <v>1039523587</v>
          </cell>
          <cell r="H9">
            <v>3128132189</v>
          </cell>
          <cell r="I9">
            <v>4499751062</v>
          </cell>
          <cell r="J9">
            <v>8667406838</v>
          </cell>
        </row>
        <row r="10">
          <cell r="A10">
            <v>777</v>
          </cell>
          <cell r="B10" t="str">
            <v>BNSF</v>
          </cell>
          <cell r="C10">
            <v>1882322451</v>
          </cell>
          <cell r="D10">
            <v>7000199722</v>
          </cell>
          <cell r="E10">
            <v>3672500823</v>
          </cell>
          <cell r="F10">
            <v>12555022996</v>
          </cell>
          <cell r="G10">
            <v>1490283858</v>
          </cell>
          <cell r="H10">
            <v>9605169665</v>
          </cell>
          <cell r="I10">
            <v>8571773067</v>
          </cell>
          <cell r="J10">
            <v>19667226590</v>
          </cell>
        </row>
        <row r="11">
          <cell r="A11">
            <v>802</v>
          </cell>
          <cell r="B11" t="str">
            <v>UP</v>
          </cell>
          <cell r="C11">
            <v>770857527</v>
          </cell>
          <cell r="D11">
            <v>3755503152</v>
          </cell>
          <cell r="E11">
            <v>4930516466</v>
          </cell>
          <cell r="F11">
            <v>9456877145</v>
          </cell>
          <cell r="G11">
            <v>583499095</v>
          </cell>
          <cell r="H11">
            <v>5434303547</v>
          </cell>
          <cell r="I11">
            <v>12888156639</v>
          </cell>
          <cell r="J11">
            <v>18905959281</v>
          </cell>
        </row>
      </sheetData>
      <sheetData sheetId="2"/>
      <sheetData sheetId="3"/>
      <sheetData sheetId="4">
        <row r="6">
          <cell r="A6">
            <v>103</v>
          </cell>
          <cell r="B6" t="str">
            <v>CN/GTC</v>
          </cell>
          <cell r="C6">
            <v>11841702.5</v>
          </cell>
          <cell r="D6">
            <v>7.8899999999999998E-2</v>
          </cell>
          <cell r="E6">
            <v>934310.32724999997</v>
          </cell>
          <cell r="F6">
            <v>853194</v>
          </cell>
          <cell r="G6">
            <v>81116.327249999973</v>
          </cell>
          <cell r="H6">
            <v>0.27417959999999997</v>
          </cell>
          <cell r="I6">
            <v>111758.12535718198</v>
          </cell>
        </row>
        <row r="7">
          <cell r="A7">
            <v>105</v>
          </cell>
          <cell r="B7" t="str">
            <v>CP/SOO</v>
          </cell>
          <cell r="C7">
            <v>3741692</v>
          </cell>
          <cell r="D7">
            <v>7.8899999999999998E-2</v>
          </cell>
          <cell r="E7">
            <v>295219.4988</v>
          </cell>
          <cell r="F7">
            <v>399455</v>
          </cell>
          <cell r="G7">
            <v>-104235.5012</v>
          </cell>
          <cell r="H7">
            <v>0.27416380000000001</v>
          </cell>
          <cell r="I7">
            <v>-143607.47121733526</v>
          </cell>
        </row>
        <row r="8">
          <cell r="A8">
            <v>400</v>
          </cell>
          <cell r="B8" t="str">
            <v>KCS</v>
          </cell>
          <cell r="C8">
            <v>4607048.5</v>
          </cell>
          <cell r="D8">
            <v>7.8899999999999998E-2</v>
          </cell>
          <cell r="E8">
            <v>363496.12664999999</v>
          </cell>
          <cell r="F8">
            <v>371190</v>
          </cell>
          <cell r="G8">
            <v>-7693.8733500000089</v>
          </cell>
          <cell r="H8">
            <v>0.25059809999999999</v>
          </cell>
          <cell r="I8">
            <v>-10266.685139175666</v>
          </cell>
        </row>
        <row r="9">
          <cell r="A9">
            <v>555</v>
          </cell>
          <cell r="B9" t="str">
            <v>NS</v>
          </cell>
          <cell r="C9">
            <v>24313473.5</v>
          </cell>
          <cell r="D9">
            <v>7.8899999999999998E-2</v>
          </cell>
          <cell r="E9">
            <v>1918333.0591499999</v>
          </cell>
          <cell r="F9">
            <v>1828627</v>
          </cell>
          <cell r="G9">
            <v>89706.05914999987</v>
          </cell>
          <cell r="H9">
            <v>0.25513269999999999</v>
          </cell>
          <cell r="I9">
            <v>120432.26914377886</v>
          </cell>
        </row>
        <row r="10">
          <cell r="A10">
            <v>712</v>
          </cell>
          <cell r="B10" t="str">
            <v>CSXT</v>
          </cell>
          <cell r="C10">
            <v>23636115</v>
          </cell>
          <cell r="D10">
            <v>7.8899999999999998E-2</v>
          </cell>
          <cell r="E10">
            <v>1864889.4734999998</v>
          </cell>
          <cell r="F10">
            <v>2682805</v>
          </cell>
          <cell r="G10">
            <v>-817915.52650000015</v>
          </cell>
          <cell r="H10">
            <v>0.25029789999999996</v>
          </cell>
          <cell r="I10">
            <v>-1090987.3755188896</v>
          </cell>
        </row>
        <row r="11">
          <cell r="A11">
            <v>777</v>
          </cell>
          <cell r="B11" t="str">
            <v>BNSF</v>
          </cell>
          <cell r="C11">
            <v>50115644.5</v>
          </cell>
          <cell r="D11">
            <v>7.8899999999999998E-2</v>
          </cell>
          <cell r="E11">
            <v>3954124.3510499997</v>
          </cell>
          <cell r="F11">
            <v>5812667</v>
          </cell>
          <cell r="G11">
            <v>-1858542.6489500003</v>
          </cell>
          <cell r="H11">
            <v>0.2504401</v>
          </cell>
          <cell r="I11">
            <v>-2479511.8428160315</v>
          </cell>
        </row>
        <row r="12">
          <cell r="A12">
            <v>802</v>
          </cell>
          <cell r="B12" t="str">
            <v>UP</v>
          </cell>
          <cell r="C12">
            <v>41268039</v>
          </cell>
          <cell r="D12">
            <v>7.8899999999999998E-2</v>
          </cell>
          <cell r="E12">
            <v>3256048.2771000001</v>
          </cell>
          <cell r="F12">
            <v>5960071</v>
          </cell>
          <cell r="G12">
            <v>-2704022.7228999999</v>
          </cell>
          <cell r="H12">
            <v>0.25422420000000001</v>
          </cell>
          <cell r="I12">
            <v>-3625785.0186342867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2BC437-352D-44D1-BF89-B69BA396C465}">
  <sheetPr codeName="Sheet1">
    <pageSetUpPr fitToPage="1"/>
  </sheetPr>
  <dimension ref="A1:B1"/>
  <sheetViews>
    <sheetView zoomScale="160" zoomScaleNormal="160" workbookViewId="0">
      <selection activeCell="A3" sqref="A3:XFD7"/>
    </sheetView>
  </sheetViews>
  <sheetFormatPr defaultRowHeight="13" x14ac:dyDescent="0.3"/>
  <cols>
    <col min="1" max="1" width="27.81640625" customWidth="1"/>
  </cols>
  <sheetData>
    <row r="1" spans="1:2" ht="13.5" thickBot="1" x14ac:dyDescent="0.35">
      <c r="A1" s="31" t="s">
        <v>31</v>
      </c>
      <c r="B1" s="30">
        <v>2020</v>
      </c>
    </row>
  </sheetData>
  <sheetProtection algorithmName="SHA-512" hashValue="fMS/TJLeU93Jbp6yhUPn15iXi1SWojLq7H5c0YRCQ+t+qLvdX0KlwrsAuRqxXAIPD/nkVEdzPu/a4vHGuFbt6Q==" saltValue="AiAXtMMMlwgF43pDmgCEVg==" spinCount="100000" sheet="1" objects="1" scenarios="1"/>
  <pageMargins left="0.7" right="0.7" top="0.75" bottom="0.75" header="0.3" footer="0.3"/>
  <pageSetup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M29"/>
  <sheetViews>
    <sheetView zoomScale="90" workbookViewId="0">
      <pane xSplit="2" ySplit="4" topLeftCell="C5" activePane="bottomRight" state="frozen"/>
      <selection activeCell="A6" sqref="A6:O6"/>
      <selection pane="topRight" activeCell="A6" sqref="A6:O6"/>
      <selection pane="bottomLeft" activeCell="A6" sqref="A6:O6"/>
      <selection pane="bottomRight" activeCell="E18" sqref="E18"/>
    </sheetView>
  </sheetViews>
  <sheetFormatPr defaultColWidth="9.1796875" defaultRowHeight="13" x14ac:dyDescent="0.3"/>
  <cols>
    <col min="1" max="1" width="4.7265625" style="8" customWidth="1"/>
    <col min="2" max="5" width="12.7265625" style="8" customWidth="1"/>
    <col min="6" max="6" width="12.7265625" style="39" customWidth="1"/>
    <col min="7" max="9" width="12.7265625" style="8" customWidth="1"/>
    <col min="10" max="10" width="10.7265625" style="35" customWidth="1"/>
    <col min="11" max="12" width="10.7265625" style="8" customWidth="1"/>
    <col min="13" max="16384" width="9.1796875" style="8"/>
  </cols>
  <sheetData>
    <row r="1" spans="1:12" x14ac:dyDescent="0.3">
      <c r="B1" s="49" t="s">
        <v>22</v>
      </c>
      <c r="C1" s="49"/>
      <c r="D1" s="49"/>
      <c r="E1" s="49"/>
      <c r="F1" s="49"/>
      <c r="G1" s="49"/>
      <c r="H1" s="46"/>
      <c r="I1" s="46"/>
      <c r="J1" s="34"/>
      <c r="K1" s="7"/>
      <c r="L1" s="7"/>
    </row>
    <row r="2" spans="1:12" x14ac:dyDescent="0.3">
      <c r="B2" s="49" t="str">
        <f>"RSAM Mark-Up Percentages "&amp;RSAM!B1&amp;" - "&amp;RSAM!B1-3</f>
        <v>RSAM Mark-Up Percentages 2020 - 2017</v>
      </c>
      <c r="C2" s="49"/>
      <c r="D2" s="49"/>
      <c r="E2" s="49"/>
      <c r="F2" s="49"/>
      <c r="G2" s="49"/>
      <c r="H2" s="46"/>
      <c r="I2" s="46"/>
      <c r="J2" s="34"/>
      <c r="K2" s="7"/>
      <c r="L2" s="7"/>
    </row>
    <row r="4" spans="1:12" ht="26" x14ac:dyDescent="0.3">
      <c r="B4" s="5" t="s">
        <v>11</v>
      </c>
      <c r="C4" s="28" t="s">
        <v>23</v>
      </c>
      <c r="D4" s="5" t="str">
        <f>LEFT('RSAM 2020'!A1,4)</f>
        <v>2020</v>
      </c>
      <c r="E4" s="5" t="str">
        <f>LEFT('RSAM 2019'!A1,4)</f>
        <v>2019</v>
      </c>
      <c r="F4" s="36" t="str">
        <f>LEFT('RSAM 2018'!A1,4)</f>
        <v>2018</v>
      </c>
      <c r="G4" s="5" t="str">
        <f>LEFT('RSAM 2017'!A1,4)</f>
        <v>2017</v>
      </c>
      <c r="K4" s="32"/>
    </row>
    <row r="5" spans="1:12" x14ac:dyDescent="0.3">
      <c r="A5" s="4">
        <v>777</v>
      </c>
      <c r="B5" s="24" t="s">
        <v>3</v>
      </c>
      <c r="C5" s="29">
        <f>AVERAGE(D5:G5)</f>
        <v>1.9326086179550379</v>
      </c>
      <c r="D5" s="12">
        <f>VLOOKUP($A5,'RSAM 2020'!$A$6:$G$12,7,FALSE)</f>
        <v>1.6588862788075047</v>
      </c>
      <c r="E5" s="26">
        <f>VLOOKUP($A5,'RSAM 2019'!$A$6:$G$12,7,FALSE)</f>
        <v>1.714572146944358</v>
      </c>
      <c r="F5" s="37">
        <f>VLOOKUP($A5,'RSAM 2018'!$A$6:$G$12,7,FALSE)</f>
        <v>2.3111765927209045</v>
      </c>
      <c r="G5" s="12">
        <f>VLOOKUP($A5,'RSAM 2017'!$A$6:$G$12,7,FALSE)</f>
        <v>2.0457994533473856</v>
      </c>
      <c r="K5" s="29"/>
    </row>
    <row r="6" spans="1:12" x14ac:dyDescent="0.3">
      <c r="A6" s="4">
        <v>712</v>
      </c>
      <c r="B6" s="25" t="s">
        <v>2</v>
      </c>
      <c r="C6" s="29">
        <f t="shared" ref="C6:C11" si="0">AVERAGE(D6:G6)</f>
        <v>2.3823375404957448</v>
      </c>
      <c r="D6" s="15">
        <f>VLOOKUP($A6,'RSAM 2020'!$A$6:$G$12,7,FALSE)</f>
        <v>2.0544911216979616</v>
      </c>
      <c r="E6" s="27">
        <f>VLOOKUP($A6,'RSAM 2019'!$A$6:$G$12,7,FALSE)</f>
        <v>2.1433459698444137</v>
      </c>
      <c r="F6" s="38">
        <f>VLOOKUP($A6,'RSAM 2018'!$A$6:$G$12,7,FALSE)</f>
        <v>2.4352692862263803</v>
      </c>
      <c r="G6" s="15">
        <f>VLOOKUP($A6,'RSAM 2017'!$A$6:$G$12,7,FALSE)</f>
        <v>2.896243784214223</v>
      </c>
      <c r="K6" s="29"/>
    </row>
    <row r="7" spans="1:12" x14ac:dyDescent="0.3">
      <c r="A7" s="4">
        <v>103</v>
      </c>
      <c r="B7" s="25" t="s">
        <v>24</v>
      </c>
      <c r="C7" s="29">
        <f t="shared" si="0"/>
        <v>3.3621118175774716</v>
      </c>
      <c r="D7" s="15">
        <f>VLOOKUP($A7,'RSAM 2020'!$A$6:$G$12,7,FALSE)</f>
        <v>2.92715222741634</v>
      </c>
      <c r="E7" s="27">
        <f>VLOOKUP($A7,'RSAM 2019'!$A$6:$G$12,7,FALSE)</f>
        <v>3.2053881864695084</v>
      </c>
      <c r="F7" s="38">
        <f>VLOOKUP($A7,'RSAM 2018'!$A$6:$G$12,7,FALSE)</f>
        <v>3.9150702354913065</v>
      </c>
      <c r="G7" s="15">
        <f>VLOOKUP($A7,'RSAM 2017'!$A$6:$G$12,7,FALSE)</f>
        <v>3.4008366209327305</v>
      </c>
      <c r="K7" s="29"/>
    </row>
    <row r="8" spans="1:12" x14ac:dyDescent="0.3">
      <c r="A8" s="4">
        <v>400</v>
      </c>
      <c r="B8" s="25" t="s">
        <v>0</v>
      </c>
      <c r="C8" s="29">
        <f t="shared" si="0"/>
        <v>3.5321014270011686</v>
      </c>
      <c r="D8" s="15">
        <f>VLOOKUP($A8,'RSAM 2020'!$A$6:$G$12,7,FALSE)</f>
        <v>2.4138825617337005</v>
      </c>
      <c r="E8" s="27">
        <f>VLOOKUP($A8,'RSAM 2019'!$A$6:$G$12,7,FALSE)</f>
        <v>3.4456642014245893</v>
      </c>
      <c r="F8" s="38">
        <f>VLOOKUP($A8,'RSAM 2018'!$A$6:$G$12,7,FALSE)</f>
        <v>4.359017725012448</v>
      </c>
      <c r="G8" s="15">
        <f>VLOOKUP($A8,'RSAM 2017'!$A$6:$G$12,7,FALSE)</f>
        <v>3.9098412198339352</v>
      </c>
      <c r="K8" s="29"/>
    </row>
    <row r="9" spans="1:12" x14ac:dyDescent="0.3">
      <c r="A9" s="4">
        <v>555</v>
      </c>
      <c r="B9" s="25" t="s">
        <v>1</v>
      </c>
      <c r="C9" s="29">
        <f t="shared" si="0"/>
        <v>2.4509859270007701</v>
      </c>
      <c r="D9" s="15">
        <f>VLOOKUP($A9,'RSAM 2020'!$A$6:$G$12,7,FALSE)</f>
        <v>2.5642894015197353</v>
      </c>
      <c r="E9" s="27">
        <f>VLOOKUP($A9,'RSAM 2019'!$A$6:$G$12,7,FALSE)</f>
        <v>2.1742110107815797</v>
      </c>
      <c r="F9" s="38">
        <f>VLOOKUP($A9,'RSAM 2018'!$A$6:$G$12,7,FALSE)</f>
        <v>2.5845116162103308</v>
      </c>
      <c r="G9" s="15">
        <f>VLOOKUP($A9,'RSAM 2017'!$A$6:$G$12,7,FALSE)</f>
        <v>2.4809316794914347</v>
      </c>
      <c r="K9" s="29"/>
    </row>
    <row r="10" spans="1:12" x14ac:dyDescent="0.3">
      <c r="A10" s="4">
        <v>105</v>
      </c>
      <c r="B10" s="25" t="s">
        <v>18</v>
      </c>
      <c r="C10" s="29">
        <f t="shared" si="0"/>
        <v>2.2823370362083684</v>
      </c>
      <c r="D10" s="15">
        <f>VLOOKUP($A10,'RSAM 2020'!$A$6:$G$12,7,FALSE)</f>
        <v>2.2952225993790352</v>
      </c>
      <c r="E10" s="27">
        <f>VLOOKUP($A10,'RSAM 2019'!$A$6:$G$12,7,FALSE)</f>
        <v>2.2530839079532066</v>
      </c>
      <c r="F10" s="38">
        <f>VLOOKUP($A10,'RSAM 2018'!$A$6:$G$12,7,FALSE)</f>
        <v>2.2526239822705971</v>
      </c>
      <c r="G10" s="15">
        <f>VLOOKUP($A10,'RSAM 2017'!$A$6:$G$12,7,FALSE)</f>
        <v>2.3284176552306337</v>
      </c>
      <c r="K10" s="29"/>
    </row>
    <row r="11" spans="1:12" x14ac:dyDescent="0.3">
      <c r="A11" s="4">
        <v>802</v>
      </c>
      <c r="B11" s="25" t="s">
        <v>4</v>
      </c>
      <c r="C11" s="29">
        <f t="shared" si="0"/>
        <v>1.8855564159514868</v>
      </c>
      <c r="D11" s="15">
        <f>VLOOKUP($A11,'RSAM 2020'!$A$6:$G$12,7,FALSE)</f>
        <v>1.878580405163931</v>
      </c>
      <c r="E11" s="27">
        <f>VLOOKUP($A11,'RSAM 2019'!$A$6:$G$12,7,FALSE)</f>
        <v>1.8078949619104043</v>
      </c>
      <c r="F11" s="38">
        <f>VLOOKUP($A11,'RSAM 2018'!$A$6:$G$12,7,FALSE)</f>
        <v>1.9578826090723964</v>
      </c>
      <c r="G11" s="15">
        <f>VLOOKUP($A11,'RSAM 2017'!$A$6:$G$12,7,FALSE)</f>
        <v>1.8978676876592155</v>
      </c>
      <c r="K11" s="29"/>
    </row>
    <row r="14" spans="1:12" x14ac:dyDescent="0.3">
      <c r="B14" s="20" t="s">
        <v>30</v>
      </c>
    </row>
    <row r="15" spans="1:12" ht="13.5" thickBot="1" x14ac:dyDescent="0.35"/>
    <row r="16" spans="1:12" ht="15" x14ac:dyDescent="0.3">
      <c r="B16" s="57"/>
      <c r="C16" s="58" t="s">
        <v>28</v>
      </c>
      <c r="D16" s="51" t="str">
        <f>D4</f>
        <v>2020</v>
      </c>
      <c r="E16" s="51" t="str">
        <f>E4</f>
        <v>2019</v>
      </c>
      <c r="F16" s="53" t="str">
        <f>F4</f>
        <v>2018</v>
      </c>
      <c r="G16" s="51" t="str">
        <f>G4</f>
        <v>2017</v>
      </c>
      <c r="K16" s="50"/>
    </row>
    <row r="17" spans="2:13" ht="15.5" thickBot="1" x14ac:dyDescent="0.35">
      <c r="B17" s="59" t="s">
        <v>11</v>
      </c>
      <c r="C17" s="60" t="s">
        <v>29</v>
      </c>
      <c r="D17" s="52"/>
      <c r="E17" s="52"/>
      <c r="F17" s="54"/>
      <c r="G17" s="52"/>
      <c r="K17" s="50"/>
    </row>
    <row r="18" spans="2:13" ht="16" thickBot="1" x14ac:dyDescent="0.35">
      <c r="B18" s="21" t="s">
        <v>3</v>
      </c>
      <c r="C18" s="22">
        <f>C5</f>
        <v>1.9326086179550379</v>
      </c>
      <c r="D18" s="22">
        <f>D5</f>
        <v>1.6588862788075047</v>
      </c>
      <c r="E18" s="22">
        <f>E5</f>
        <v>1.714572146944358</v>
      </c>
      <c r="F18" s="43">
        <f>F5</f>
        <v>2.3111765927209045</v>
      </c>
      <c r="G18" s="22">
        <f t="shared" ref="G18" si="1">G5</f>
        <v>2.0457994533473856</v>
      </c>
      <c r="K18" s="33"/>
    </row>
    <row r="19" spans="2:13" ht="16" thickBot="1" x14ac:dyDescent="0.35">
      <c r="B19" s="21" t="s">
        <v>2</v>
      </c>
      <c r="C19" s="22">
        <f t="shared" ref="C19" si="2">C6</f>
        <v>2.3823375404957448</v>
      </c>
      <c r="D19" s="22">
        <f t="shared" ref="D19:D24" si="3">D6</f>
        <v>2.0544911216979616</v>
      </c>
      <c r="E19" s="22">
        <f t="shared" ref="E19:E24" si="4">E6</f>
        <v>2.1433459698444137</v>
      </c>
      <c r="F19" s="43">
        <f t="shared" ref="F19:F24" si="5">F6</f>
        <v>2.4352692862263803</v>
      </c>
      <c r="G19" s="22">
        <f t="shared" ref="G19" si="6">G6</f>
        <v>2.896243784214223</v>
      </c>
      <c r="K19" s="33"/>
    </row>
    <row r="20" spans="2:13" ht="16" thickBot="1" x14ac:dyDescent="0.35">
      <c r="B20" s="21" t="s">
        <v>24</v>
      </c>
      <c r="C20" s="22">
        <f t="shared" ref="C20" si="7">C7</f>
        <v>3.3621118175774716</v>
      </c>
      <c r="D20" s="22">
        <f t="shared" si="3"/>
        <v>2.92715222741634</v>
      </c>
      <c r="E20" s="22">
        <f t="shared" si="4"/>
        <v>3.2053881864695084</v>
      </c>
      <c r="F20" s="43">
        <f t="shared" si="5"/>
        <v>3.9150702354913065</v>
      </c>
      <c r="G20" s="22">
        <f t="shared" ref="G20" si="8">G7</f>
        <v>3.4008366209327305</v>
      </c>
      <c r="K20" s="33"/>
    </row>
    <row r="21" spans="2:13" ht="16" thickBot="1" x14ac:dyDescent="0.35">
      <c r="B21" s="21" t="s">
        <v>0</v>
      </c>
      <c r="C21" s="22">
        <f t="shared" ref="C21" si="9">C8</f>
        <v>3.5321014270011686</v>
      </c>
      <c r="D21" s="22">
        <f t="shared" si="3"/>
        <v>2.4138825617337005</v>
      </c>
      <c r="E21" s="22">
        <f t="shared" si="4"/>
        <v>3.4456642014245893</v>
      </c>
      <c r="F21" s="43">
        <f t="shared" si="5"/>
        <v>4.359017725012448</v>
      </c>
      <c r="G21" s="22">
        <f t="shared" ref="G21" si="10">G8</f>
        <v>3.9098412198339352</v>
      </c>
      <c r="K21" s="33"/>
    </row>
    <row r="22" spans="2:13" ht="16" thickBot="1" x14ac:dyDescent="0.35">
      <c r="B22" s="21" t="s">
        <v>1</v>
      </c>
      <c r="C22" s="22">
        <f t="shared" ref="C22" si="11">C9</f>
        <v>2.4509859270007701</v>
      </c>
      <c r="D22" s="22">
        <f t="shared" si="3"/>
        <v>2.5642894015197353</v>
      </c>
      <c r="E22" s="22">
        <f t="shared" si="4"/>
        <v>2.1742110107815797</v>
      </c>
      <c r="F22" s="43">
        <f t="shared" si="5"/>
        <v>2.5845116162103308</v>
      </c>
      <c r="G22" s="22">
        <f t="shared" ref="G22" si="12">G9</f>
        <v>2.4809316794914347</v>
      </c>
      <c r="K22" s="33"/>
    </row>
    <row r="23" spans="2:13" ht="16" thickBot="1" x14ac:dyDescent="0.35">
      <c r="B23" s="21" t="s">
        <v>18</v>
      </c>
      <c r="C23" s="22">
        <f t="shared" ref="C23" si="13">C10</f>
        <v>2.2823370362083684</v>
      </c>
      <c r="D23" s="22">
        <f t="shared" si="3"/>
        <v>2.2952225993790352</v>
      </c>
      <c r="E23" s="22">
        <f t="shared" si="4"/>
        <v>2.2530839079532066</v>
      </c>
      <c r="F23" s="43">
        <f t="shared" si="5"/>
        <v>2.2526239822705971</v>
      </c>
      <c r="G23" s="22">
        <f t="shared" ref="G23" si="14">G10</f>
        <v>2.3284176552306337</v>
      </c>
      <c r="K23" s="33"/>
    </row>
    <row r="24" spans="2:13" ht="16" thickBot="1" x14ac:dyDescent="0.35">
      <c r="B24" s="21" t="s">
        <v>4</v>
      </c>
      <c r="C24" s="22">
        <f t="shared" ref="C24" si="15">C11</f>
        <v>1.8855564159514868</v>
      </c>
      <c r="D24" s="22">
        <f t="shared" si="3"/>
        <v>1.878580405163931</v>
      </c>
      <c r="E24" s="22">
        <f t="shared" si="4"/>
        <v>1.8078949619104043</v>
      </c>
      <c r="F24" s="43">
        <f t="shared" si="5"/>
        <v>1.9578826090723964</v>
      </c>
      <c r="G24" s="22">
        <f t="shared" ref="G24" si="16">G11</f>
        <v>1.8978676876592155</v>
      </c>
      <c r="K24" s="33"/>
    </row>
    <row r="25" spans="2:13" ht="15.5" x14ac:dyDescent="0.35">
      <c r="B25" s="23"/>
    </row>
    <row r="26" spans="2:13" ht="15.5" x14ac:dyDescent="0.35">
      <c r="B26" s="23"/>
      <c r="M26" s="23"/>
    </row>
    <row r="27" spans="2:13" ht="15.5" x14ac:dyDescent="0.35">
      <c r="B27" s="23"/>
      <c r="C27" s="23"/>
      <c r="D27" s="23"/>
      <c r="E27" s="23"/>
      <c r="F27" s="42"/>
      <c r="G27" s="23"/>
      <c r="H27" s="23"/>
      <c r="I27" s="23"/>
      <c r="J27" s="41"/>
      <c r="K27" s="23"/>
      <c r="L27" s="23"/>
    </row>
    <row r="28" spans="2:13" ht="15.5" x14ac:dyDescent="0.35">
      <c r="B28" s="23"/>
      <c r="C28" s="23"/>
      <c r="D28" s="23"/>
      <c r="E28" s="23"/>
      <c r="F28" s="42"/>
      <c r="G28" s="23"/>
      <c r="H28" s="23"/>
      <c r="I28" s="23"/>
      <c r="J28" s="41"/>
      <c r="K28" s="23"/>
      <c r="L28" s="23"/>
    </row>
    <row r="29" spans="2:13" ht="15.5" x14ac:dyDescent="0.35">
      <c r="B29" s="23"/>
    </row>
  </sheetData>
  <sheetProtection algorithmName="SHA-512" hashValue="nRe+I1P1lNXoH6Sq4jYUGV+ThdzV37fu2oa6y0L2J4Fa+FIt0KAIwKqVopDcEBw5ctwoBHWOUI9Lzu0jA8fsXA==" saltValue="Wy5gs0I2PJPgIY23FZD5XQ==" spinCount="100000" sheet="1" objects="1" scenarios="1"/>
  <mergeCells count="7">
    <mergeCell ref="B2:G2"/>
    <mergeCell ref="B1:G1"/>
    <mergeCell ref="K16:K17"/>
    <mergeCell ref="D16:D17"/>
    <mergeCell ref="E16:E17"/>
    <mergeCell ref="F16:F17"/>
    <mergeCell ref="G16:G17"/>
  </mergeCells>
  <phoneticPr fontId="4" type="noConversion"/>
  <printOptions horizontalCentered="1"/>
  <pageMargins left="0.75" right="0.75" top="1" bottom="1" header="0.5" footer="0.5"/>
  <pageSetup orientation="portrait" r:id="rId1"/>
  <headerFooter alignWithMargins="0">
    <oddFooter>&amp;L&amp;F [&amp;A]&amp;RPage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pageSetUpPr fitToPage="1"/>
  </sheetPr>
  <dimension ref="A1:K24"/>
  <sheetViews>
    <sheetView tabSelected="1" zoomScale="90" workbookViewId="0">
      <pane xSplit="2" ySplit="4" topLeftCell="C5" activePane="bottomRight" state="frozen"/>
      <selection activeCell="A6" sqref="A6:O6"/>
      <selection pane="topRight" activeCell="A6" sqref="A6:O6"/>
      <selection pane="bottomLeft" activeCell="A6" sqref="A6:O6"/>
      <selection pane="bottomRight" activeCell="G14" sqref="G14"/>
    </sheetView>
  </sheetViews>
  <sheetFormatPr defaultColWidth="9.1796875" defaultRowHeight="13" x14ac:dyDescent="0.3"/>
  <cols>
    <col min="1" max="1" width="4.7265625" style="8" customWidth="1"/>
    <col min="2" max="9" width="12.7265625" style="8" customWidth="1"/>
    <col min="10" max="10" width="10.7265625" style="35" customWidth="1"/>
    <col min="11" max="11" width="10.7265625" style="8" customWidth="1"/>
    <col min="12" max="16384" width="9.1796875" style="8"/>
  </cols>
  <sheetData>
    <row r="1" spans="1:11" x14ac:dyDescent="0.3">
      <c r="B1" s="49" t="s">
        <v>26</v>
      </c>
      <c r="C1" s="49"/>
      <c r="D1" s="49"/>
      <c r="E1" s="49"/>
      <c r="F1" s="49"/>
      <c r="G1" s="49"/>
      <c r="H1" s="46"/>
      <c r="I1" s="46"/>
      <c r="J1" s="45"/>
      <c r="K1" s="45"/>
    </row>
    <row r="2" spans="1:11" x14ac:dyDescent="0.3">
      <c r="B2" s="49" t="str">
        <f>"RVC&gt;180 Percentages "&amp;RSAM!B1&amp;" - "&amp;RSAM!B1-3</f>
        <v>RVC&gt;180 Percentages 2020 - 2017</v>
      </c>
      <c r="C2" s="49"/>
      <c r="D2" s="49"/>
      <c r="E2" s="49"/>
      <c r="F2" s="49"/>
      <c r="G2" s="49"/>
      <c r="H2" s="46"/>
      <c r="I2" s="46"/>
      <c r="J2" s="44"/>
      <c r="K2" s="20"/>
    </row>
    <row r="4" spans="1:11" ht="26" x14ac:dyDescent="0.3">
      <c r="B4" s="5" t="s">
        <v>11</v>
      </c>
      <c r="C4" s="28" t="s">
        <v>23</v>
      </c>
      <c r="D4" s="5" t="str">
        <f>LEFT('RSAM 2020'!A1,4)</f>
        <v>2020</v>
      </c>
      <c r="E4" s="5" t="str">
        <f>LEFT('RSAM 2019'!A1,4)</f>
        <v>2019</v>
      </c>
      <c r="F4" s="36" t="str">
        <f>LEFT('RSAM 2018'!A1,4)</f>
        <v>2018</v>
      </c>
      <c r="G4" s="5" t="str">
        <f>LEFT('RSAM 2017'!A1,4)</f>
        <v>2017</v>
      </c>
      <c r="K4" s="32"/>
    </row>
    <row r="5" spans="1:11" x14ac:dyDescent="0.3">
      <c r="A5" s="4">
        <v>777</v>
      </c>
      <c r="B5" s="24" t="s">
        <v>3</v>
      </c>
      <c r="C5" s="29">
        <f>AVERAGE(D5:G5)</f>
        <v>2.2607576421338118</v>
      </c>
      <c r="D5" s="12">
        <f>VLOOKUP($A5,'RSAM 2020'!$A$6:$G$12,5,FALSE)</f>
        <v>2.3340425176536441</v>
      </c>
      <c r="E5" s="26">
        <f>VLOOKUP($A5,'RSAM 2019'!$A$6:$G$12,5,FALSE)</f>
        <v>2.2765257962546737</v>
      </c>
      <c r="F5" s="37">
        <f>VLOOKUP($A5,'RSAM 2018'!$A$6:$G$12,5,FALSE)</f>
        <v>2.2180023255973018</v>
      </c>
      <c r="G5" s="12">
        <f>VLOOKUP($A5,'RSAM 2017'!$A$6:$G$12,5,FALSE)</f>
        <v>2.2144599290296281</v>
      </c>
      <c r="K5" s="29"/>
    </row>
    <row r="6" spans="1:11" x14ac:dyDescent="0.3">
      <c r="A6" s="4">
        <v>712</v>
      </c>
      <c r="B6" s="25" t="s">
        <v>2</v>
      </c>
      <c r="C6" s="29">
        <f t="shared" ref="C6:C11" si="0">AVERAGE(D6:G6)</f>
        <v>2.6722659707126852</v>
      </c>
      <c r="D6" s="15">
        <f>VLOOKUP($A6,'RSAM 2020'!$A$6:$G$12,5,FALSE)</f>
        <v>2.7120385738071908</v>
      </c>
      <c r="E6" s="27">
        <f>VLOOKUP($A6,'RSAM 2019'!$A$6:$G$12,5,FALSE)</f>
        <v>2.7239288022456227</v>
      </c>
      <c r="F6" s="38">
        <f>VLOOKUP($A6,'RSAM 2018'!$A$6:$G$12,5,FALSE)</f>
        <v>2.5956413433432473</v>
      </c>
      <c r="G6" s="15">
        <f>VLOOKUP($A6,'RSAM 2017'!$A$6:$G$12,5,FALSE)</f>
        <v>2.6574551634546792</v>
      </c>
      <c r="K6" s="29"/>
    </row>
    <row r="7" spans="1:11" x14ac:dyDescent="0.3">
      <c r="A7" s="4">
        <v>103</v>
      </c>
      <c r="B7" s="25" t="s">
        <v>24</v>
      </c>
      <c r="C7" s="29">
        <f t="shared" si="0"/>
        <v>2.757075230933959</v>
      </c>
      <c r="D7" s="15">
        <f>VLOOKUP($A7,'RSAM 2020'!$A$6:$G$12,5,FALSE)</f>
        <v>2.7481816425289733</v>
      </c>
      <c r="E7" s="27">
        <f>VLOOKUP($A7,'RSAM 2019'!$A$6:$G$12,5,FALSE)</f>
        <v>2.7596070393986651</v>
      </c>
      <c r="F7" s="38">
        <f>VLOOKUP($A7,'RSAM 2018'!$A$6:$G$12,5,FALSE)</f>
        <v>2.7388240022330046</v>
      </c>
      <c r="G7" s="15">
        <f>VLOOKUP($A7,'RSAM 2017'!$A$6:$G$12,5,FALSE)</f>
        <v>2.7816882395751925</v>
      </c>
      <c r="K7" s="29"/>
    </row>
    <row r="8" spans="1:11" x14ac:dyDescent="0.3">
      <c r="A8" s="4">
        <v>400</v>
      </c>
      <c r="B8" s="25" t="s">
        <v>0</v>
      </c>
      <c r="C8" s="29">
        <f t="shared" si="0"/>
        <v>2.4456719478861304</v>
      </c>
      <c r="D8" s="15">
        <f>VLOOKUP($A8,'RSAM 2020'!$A$6:$G$12,5,FALSE)</f>
        <v>2.4641208126501359</v>
      </c>
      <c r="E8" s="27">
        <f>VLOOKUP($A8,'RSAM 2019'!$A$6:$G$12,5,FALSE)</f>
        <v>2.3744384869140496</v>
      </c>
      <c r="F8" s="38">
        <f>VLOOKUP($A8,'RSAM 2018'!$A$6:$G$12,5,FALSE)</f>
        <v>2.4787301426471524</v>
      </c>
      <c r="G8" s="15">
        <f>VLOOKUP($A8,'RSAM 2017'!$A$6:$G$12,5,FALSE)</f>
        <v>2.4653983493331846</v>
      </c>
      <c r="K8" s="29"/>
    </row>
    <row r="9" spans="1:11" x14ac:dyDescent="0.3">
      <c r="A9" s="4">
        <v>555</v>
      </c>
      <c r="B9" s="25" t="s">
        <v>1</v>
      </c>
      <c r="C9" s="29">
        <f t="shared" si="0"/>
        <v>2.5004059520997313</v>
      </c>
      <c r="D9" s="15">
        <f>VLOOKUP($A9,'RSAM 2020'!$A$6:$G$12,5,FALSE)</f>
        <v>2.5003881815868363</v>
      </c>
      <c r="E9" s="27">
        <f>VLOOKUP($A9,'RSAM 2019'!$A$6:$G$12,5,FALSE)</f>
        <v>2.5366468894412235</v>
      </c>
      <c r="F9" s="38">
        <f>VLOOKUP($A9,'RSAM 2018'!$A$6:$G$12,5,FALSE)</f>
        <v>2.4826928606645513</v>
      </c>
      <c r="G9" s="15">
        <f>VLOOKUP($A9,'RSAM 2017'!$A$6:$G$12,5,FALSE)</f>
        <v>2.4818958767063135</v>
      </c>
      <c r="K9" s="29"/>
    </row>
    <row r="10" spans="1:11" x14ac:dyDescent="0.3">
      <c r="A10" s="4">
        <v>105</v>
      </c>
      <c r="B10" s="25" t="s">
        <v>18</v>
      </c>
      <c r="C10" s="29">
        <f t="shared" si="0"/>
        <v>2.5078075360284293</v>
      </c>
      <c r="D10" s="15">
        <f>VLOOKUP($A10,'RSAM 2020'!$A$6:$G$12,5,FALSE)</f>
        <v>2.66479260074528</v>
      </c>
      <c r="E10" s="27">
        <f>VLOOKUP($A10,'RSAM 2019'!$A$6:$G$12,5,FALSE)</f>
        <v>2.4995805969805334</v>
      </c>
      <c r="F10" s="38">
        <f>VLOOKUP($A10,'RSAM 2018'!$A$6:$G$12,5,FALSE)</f>
        <v>2.4414193676314606</v>
      </c>
      <c r="G10" s="15">
        <f>VLOOKUP($A10,'RSAM 2017'!$A$6:$G$12,5,FALSE)</f>
        <v>2.4254375787564433</v>
      </c>
      <c r="K10" s="29"/>
    </row>
    <row r="11" spans="1:11" x14ac:dyDescent="0.3">
      <c r="A11" s="4">
        <v>802</v>
      </c>
      <c r="B11" s="25" t="s">
        <v>4</v>
      </c>
      <c r="C11" s="29">
        <f t="shared" si="0"/>
        <v>2.4833329232887635</v>
      </c>
      <c r="D11" s="15">
        <f>VLOOKUP($A11,'RSAM 2020'!$A$6:$G$12,5,FALSE)</f>
        <v>2.6139567178964982</v>
      </c>
      <c r="E11" s="27">
        <f>VLOOKUP($A11,'RSAM 2019'!$A$6:$G$12,5,FALSE)</f>
        <v>2.4885438160300741</v>
      </c>
      <c r="F11" s="38">
        <f>VLOOKUP($A11,'RSAM 2018'!$A$6:$G$12,5,FALSE)</f>
        <v>2.4136896536583823</v>
      </c>
      <c r="G11" s="15">
        <f>VLOOKUP($A11,'RSAM 2017'!$A$6:$G$12,5,FALSE)</f>
        <v>2.4171415055700987</v>
      </c>
      <c r="K11" s="29"/>
    </row>
    <row r="12" spans="1:11" x14ac:dyDescent="0.3">
      <c r="F12" s="39"/>
    </row>
    <row r="13" spans="1:11" x14ac:dyDescent="0.3">
      <c r="F13" s="39"/>
    </row>
    <row r="14" spans="1:11" x14ac:dyDescent="0.3">
      <c r="B14" s="20" t="s">
        <v>30</v>
      </c>
      <c r="F14" s="39"/>
    </row>
    <row r="15" spans="1:11" ht="13.5" thickBot="1" x14ac:dyDescent="0.35">
      <c r="F15" s="39"/>
    </row>
    <row r="16" spans="1:11" ht="15.5" thickBot="1" x14ac:dyDescent="0.35">
      <c r="B16" s="57"/>
      <c r="C16" s="58" t="s">
        <v>28</v>
      </c>
      <c r="D16" s="55" t="str">
        <f>D4</f>
        <v>2020</v>
      </c>
      <c r="E16" s="55" t="str">
        <f>E4</f>
        <v>2019</v>
      </c>
      <c r="F16" s="56" t="str">
        <f>F4</f>
        <v>2018</v>
      </c>
      <c r="G16" s="55" t="str">
        <f>G4</f>
        <v>2017</v>
      </c>
      <c r="K16" s="50"/>
    </row>
    <row r="17" spans="2:11" ht="15.5" thickBot="1" x14ac:dyDescent="0.35">
      <c r="B17" s="59" t="s">
        <v>11</v>
      </c>
      <c r="C17" s="60" t="s">
        <v>29</v>
      </c>
      <c r="D17" s="55"/>
      <c r="E17" s="55"/>
      <c r="F17" s="56"/>
      <c r="G17" s="55"/>
      <c r="K17" s="50"/>
    </row>
    <row r="18" spans="2:11" ht="16" thickBot="1" x14ac:dyDescent="0.35">
      <c r="B18" s="21" t="s">
        <v>3</v>
      </c>
      <c r="C18" s="22">
        <f>C5</f>
        <v>2.2607576421338118</v>
      </c>
      <c r="D18" s="22">
        <f t="shared" ref="D18" si="1">D5</f>
        <v>2.3340425176536441</v>
      </c>
      <c r="E18" s="22">
        <f>E5</f>
        <v>2.2765257962546737</v>
      </c>
      <c r="F18" s="40">
        <f>F5</f>
        <v>2.2180023255973018</v>
      </c>
      <c r="G18" s="22">
        <f t="shared" ref="G18" si="2">G5</f>
        <v>2.2144599290296281</v>
      </c>
      <c r="K18" s="33"/>
    </row>
    <row r="19" spans="2:11" ht="16" thickBot="1" x14ac:dyDescent="0.35">
      <c r="B19" s="21" t="s">
        <v>2</v>
      </c>
      <c r="C19" s="22">
        <f t="shared" ref="C19" si="3">C6</f>
        <v>2.6722659707126852</v>
      </c>
      <c r="D19" s="22">
        <f t="shared" ref="D19" si="4">D6</f>
        <v>2.7120385738071908</v>
      </c>
      <c r="E19" s="22">
        <f t="shared" ref="E19:E24" si="5">E6</f>
        <v>2.7239288022456227</v>
      </c>
      <c r="F19" s="40">
        <f t="shared" ref="F19:F24" si="6">F6</f>
        <v>2.5956413433432473</v>
      </c>
      <c r="G19" s="22">
        <f t="shared" ref="G19" si="7">G6</f>
        <v>2.6574551634546792</v>
      </c>
      <c r="K19" s="33"/>
    </row>
    <row r="20" spans="2:11" ht="16" thickBot="1" x14ac:dyDescent="0.35">
      <c r="B20" s="21" t="s">
        <v>24</v>
      </c>
      <c r="C20" s="22">
        <f t="shared" ref="C20" si="8">C7</f>
        <v>2.757075230933959</v>
      </c>
      <c r="D20" s="22">
        <f t="shared" ref="D20" si="9">D7</f>
        <v>2.7481816425289733</v>
      </c>
      <c r="E20" s="22">
        <f t="shared" si="5"/>
        <v>2.7596070393986651</v>
      </c>
      <c r="F20" s="40">
        <f t="shared" si="6"/>
        <v>2.7388240022330046</v>
      </c>
      <c r="G20" s="22">
        <f t="shared" ref="G20" si="10">G7</f>
        <v>2.7816882395751925</v>
      </c>
      <c r="K20" s="33"/>
    </row>
    <row r="21" spans="2:11" ht="16" thickBot="1" x14ac:dyDescent="0.35">
      <c r="B21" s="21" t="s">
        <v>0</v>
      </c>
      <c r="C21" s="22">
        <f t="shared" ref="C21" si="11">C8</f>
        <v>2.4456719478861304</v>
      </c>
      <c r="D21" s="22">
        <f t="shared" ref="D21" si="12">D8</f>
        <v>2.4641208126501359</v>
      </c>
      <c r="E21" s="22">
        <f t="shared" si="5"/>
        <v>2.3744384869140496</v>
      </c>
      <c r="F21" s="40">
        <f t="shared" si="6"/>
        <v>2.4787301426471524</v>
      </c>
      <c r="G21" s="22">
        <f t="shared" ref="G21" si="13">G8</f>
        <v>2.4653983493331846</v>
      </c>
      <c r="K21" s="33"/>
    </row>
    <row r="22" spans="2:11" ht="16" thickBot="1" x14ac:dyDescent="0.35">
      <c r="B22" s="21" t="s">
        <v>1</v>
      </c>
      <c r="C22" s="22">
        <f t="shared" ref="C22" si="14">C9</f>
        <v>2.5004059520997313</v>
      </c>
      <c r="D22" s="22">
        <f t="shared" ref="D22" si="15">D9</f>
        <v>2.5003881815868363</v>
      </c>
      <c r="E22" s="22">
        <f t="shared" si="5"/>
        <v>2.5366468894412235</v>
      </c>
      <c r="F22" s="40">
        <f t="shared" si="6"/>
        <v>2.4826928606645513</v>
      </c>
      <c r="G22" s="22">
        <f t="shared" ref="G22" si="16">G9</f>
        <v>2.4818958767063135</v>
      </c>
      <c r="K22" s="33"/>
    </row>
    <row r="23" spans="2:11" ht="16" thickBot="1" x14ac:dyDescent="0.35">
      <c r="B23" s="21" t="s">
        <v>18</v>
      </c>
      <c r="C23" s="22">
        <f t="shared" ref="C23" si="17">C10</f>
        <v>2.5078075360284293</v>
      </c>
      <c r="D23" s="22">
        <f t="shared" ref="D23" si="18">D10</f>
        <v>2.66479260074528</v>
      </c>
      <c r="E23" s="22">
        <f t="shared" si="5"/>
        <v>2.4995805969805334</v>
      </c>
      <c r="F23" s="40">
        <f t="shared" si="6"/>
        <v>2.4414193676314606</v>
      </c>
      <c r="G23" s="22">
        <f t="shared" ref="G23" si="19">G10</f>
        <v>2.4254375787564433</v>
      </c>
      <c r="K23" s="33"/>
    </row>
    <row r="24" spans="2:11" ht="16" thickBot="1" x14ac:dyDescent="0.35">
      <c r="B24" s="21" t="s">
        <v>4</v>
      </c>
      <c r="C24" s="22">
        <f t="shared" ref="C24" si="20">C11</f>
        <v>2.4833329232887635</v>
      </c>
      <c r="D24" s="22">
        <f t="shared" ref="D24" si="21">D11</f>
        <v>2.6139567178964982</v>
      </c>
      <c r="E24" s="22">
        <f t="shared" si="5"/>
        <v>2.4885438160300741</v>
      </c>
      <c r="F24" s="40">
        <f t="shared" si="6"/>
        <v>2.4136896536583823</v>
      </c>
      <c r="G24" s="22">
        <f t="shared" ref="G24" si="22">G11</f>
        <v>2.4171415055700987</v>
      </c>
      <c r="K24" s="33"/>
    </row>
  </sheetData>
  <sheetProtection algorithmName="SHA-512" hashValue="XFnUaEpqQqYv8Pcqf2GLAY0ecoXTYlhM4W89wgRVZMJIAN3r9IU0CCiCc0hCIJ2UGL1/uOipaCK00++tOTxbCA==" saltValue="9SGjA7Jmfyc/eP+5CGp4kg==" spinCount="100000" sheet="1" objects="1" scenarios="1"/>
  <mergeCells count="7">
    <mergeCell ref="B2:G2"/>
    <mergeCell ref="B1:G1"/>
    <mergeCell ref="D16:D17"/>
    <mergeCell ref="K16:K17"/>
    <mergeCell ref="E16:E17"/>
    <mergeCell ref="F16:F17"/>
    <mergeCell ref="G16:G17"/>
  </mergeCells>
  <phoneticPr fontId="0" type="noConversion"/>
  <printOptions horizontalCentered="1"/>
  <pageMargins left="0.75" right="0.75" top="1" bottom="1" header="0.5" footer="0.5"/>
  <pageSetup orientation="portrait" r:id="rId1"/>
  <headerFooter alignWithMargins="0">
    <oddFooter>&amp;L&amp;F [&amp;A]&amp;RPage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4"/>
  <dimension ref="A1:H25"/>
  <sheetViews>
    <sheetView workbookViewId="0">
      <selection sqref="A1:XFD1048576"/>
    </sheetView>
  </sheetViews>
  <sheetFormatPr defaultRowHeight="13" x14ac:dyDescent="0.3"/>
  <cols>
    <col min="2" max="2" width="10.7265625" customWidth="1"/>
    <col min="3" max="4" width="16.7265625" customWidth="1"/>
    <col min="5" max="5" width="12.7265625" customWidth="1"/>
    <col min="6" max="6" width="18.7265625" customWidth="1"/>
    <col min="7" max="7" width="12.7265625" customWidth="1"/>
  </cols>
  <sheetData>
    <row r="1" spans="1:7" ht="15.5" x14ac:dyDescent="0.35">
      <c r="A1" s="6" t="str">
        <f>'[1]Inputs from Decisions'!B1&amp;" RSAM Calculation"</f>
        <v>2020 RSAM Calculation</v>
      </c>
      <c r="B1" s="7"/>
      <c r="C1" s="7"/>
      <c r="D1" s="7"/>
      <c r="E1" s="7"/>
      <c r="F1" s="7"/>
      <c r="G1" s="7"/>
    </row>
    <row r="2" spans="1:7" x14ac:dyDescent="0.3">
      <c r="A2" s="8"/>
      <c r="B2" s="8"/>
      <c r="C2" s="8"/>
      <c r="D2" s="8"/>
      <c r="E2" s="8"/>
      <c r="F2" s="8"/>
      <c r="G2" s="8"/>
    </row>
    <row r="3" spans="1:7" x14ac:dyDescent="0.3">
      <c r="A3" s="4" t="s">
        <v>5</v>
      </c>
      <c r="B3" s="4" t="s">
        <v>6</v>
      </c>
      <c r="C3" s="4" t="s">
        <v>7</v>
      </c>
      <c r="D3" s="4" t="s">
        <v>15</v>
      </c>
      <c r="E3" s="4" t="s">
        <v>16</v>
      </c>
      <c r="F3" s="4" t="s">
        <v>17</v>
      </c>
      <c r="G3" s="4" t="s">
        <v>20</v>
      </c>
    </row>
    <row r="4" spans="1:7" x14ac:dyDescent="0.3">
      <c r="A4" s="8"/>
      <c r="B4" s="8"/>
      <c r="C4" s="1" t="s">
        <v>14</v>
      </c>
      <c r="D4" s="9"/>
      <c r="E4" s="8"/>
      <c r="F4" s="8"/>
      <c r="G4" s="8"/>
    </row>
    <row r="5" spans="1:7" ht="26" x14ac:dyDescent="0.3">
      <c r="A5" s="2" t="s">
        <v>10</v>
      </c>
      <c r="B5" s="3" t="s">
        <v>11</v>
      </c>
      <c r="C5" s="2" t="s">
        <v>12</v>
      </c>
      <c r="D5" s="2" t="s">
        <v>13</v>
      </c>
      <c r="E5" s="2" t="s">
        <v>25</v>
      </c>
      <c r="F5" s="5" t="s">
        <v>27</v>
      </c>
      <c r="G5" s="2" t="s">
        <v>19</v>
      </c>
    </row>
    <row r="6" spans="1:7" x14ac:dyDescent="0.3">
      <c r="A6" s="10">
        <v>103</v>
      </c>
      <c r="B6" s="10" t="s">
        <v>8</v>
      </c>
      <c r="C6" s="11">
        <f>VLOOKUP($A6,[1]RSAM_Class_I_Costs_and_Rev!$A$5:$J$11,9,FALSE)/1000</f>
        <v>1716101.1610000001</v>
      </c>
      <c r="D6" s="11">
        <f>VLOOKUP($A6,[1]RSAM_Class_I_Costs_and_Rev!$A$5:$J$11,5,FALSE)/1000</f>
        <v>624449.68500000006</v>
      </c>
      <c r="E6" s="12">
        <f t="shared" ref="E6:E12" si="0">C6/D6</f>
        <v>2.7481816425289733</v>
      </c>
      <c r="F6" s="11">
        <f>VLOOKUP($A6,'[1]Shortfall (Surplus)'!$A$6:$I$12,9,FALSE)</f>
        <v>111758.12535718198</v>
      </c>
      <c r="G6" s="12">
        <f>(C6+F6)/D6</f>
        <v>2.92715222741634</v>
      </c>
    </row>
    <row r="7" spans="1:7" x14ac:dyDescent="0.3">
      <c r="A7" s="13">
        <v>105</v>
      </c>
      <c r="B7" s="13" t="s">
        <v>9</v>
      </c>
      <c r="C7" s="14">
        <f>VLOOKUP($A7,[1]RSAM_Class_I_Costs_and_Rev!$A$5:$J$11,9,FALSE)/1000</f>
        <v>1035484.821</v>
      </c>
      <c r="D7" s="14">
        <f>VLOOKUP($A7,[1]RSAM_Class_I_Costs_and_Rev!$A$5:$J$11,5,FALSE)/1000</f>
        <v>388579.89199999999</v>
      </c>
      <c r="E7" s="15">
        <f t="shared" si="0"/>
        <v>2.66479260074528</v>
      </c>
      <c r="F7" s="14">
        <f>VLOOKUP($A7,'[1]Shortfall (Surplus)'!$A$6:$I$12,9,FALSE)</f>
        <v>-143607.47121733526</v>
      </c>
      <c r="G7" s="15">
        <f t="shared" ref="G7:G12" si="1">(C7+F7)/D7</f>
        <v>2.2952225993790352</v>
      </c>
    </row>
    <row r="8" spans="1:7" x14ac:dyDescent="0.3">
      <c r="A8" s="13">
        <v>400</v>
      </c>
      <c r="B8" s="13" t="s">
        <v>0</v>
      </c>
      <c r="C8" s="14">
        <f>VLOOKUP($A8,[1]RSAM_Class_I_Costs_and_Rev!$A$5:$J$11,9,FALSE)/1000</f>
        <v>503567.54200000002</v>
      </c>
      <c r="D8" s="14">
        <f>VLOOKUP($A8,[1]RSAM_Class_I_Costs_and_Rev!$A$5:$J$11,5,FALSE)/1000</f>
        <v>204359.924</v>
      </c>
      <c r="E8" s="15">
        <f t="shared" si="0"/>
        <v>2.4641208126501359</v>
      </c>
      <c r="F8" s="14">
        <f>VLOOKUP($A8,'[1]Shortfall (Surplus)'!$A$6:$I$12,9,FALSE)</f>
        <v>-10266.685139175666</v>
      </c>
      <c r="G8" s="15">
        <f t="shared" si="1"/>
        <v>2.4138825617337005</v>
      </c>
    </row>
    <row r="9" spans="1:7" x14ac:dyDescent="0.3">
      <c r="A9" s="13">
        <v>555</v>
      </c>
      <c r="B9" s="13" t="s">
        <v>1</v>
      </c>
      <c r="C9" s="14">
        <f>VLOOKUP($A9,[1]RSAM_Class_I_Costs_and_Rev!$A$5:$J$11,9,FALSE)/1000</f>
        <v>4712389.2589999996</v>
      </c>
      <c r="D9" s="14">
        <f>VLOOKUP($A9,[1]RSAM_Class_I_Costs_and_Rev!$A$5:$J$11,5,FALSE)/1000</f>
        <v>1884663.067</v>
      </c>
      <c r="E9" s="15">
        <f t="shared" si="0"/>
        <v>2.5003881815868363</v>
      </c>
      <c r="F9" s="14">
        <f>VLOOKUP($A9,'[1]Shortfall (Surplus)'!$A$6:$I$12,9,FALSE)</f>
        <v>120432.26914377886</v>
      </c>
      <c r="G9" s="15">
        <f t="shared" si="1"/>
        <v>2.5642894015197353</v>
      </c>
    </row>
    <row r="10" spans="1:7" x14ac:dyDescent="0.3">
      <c r="A10" s="13">
        <v>712</v>
      </c>
      <c r="B10" s="13" t="s">
        <v>2</v>
      </c>
      <c r="C10" s="14">
        <f>VLOOKUP($A10,[1]RSAM_Class_I_Costs_and_Rev!$A$5:$J$11,9,FALSE)/1000</f>
        <v>4499751.0619999999</v>
      </c>
      <c r="D10" s="14">
        <f>VLOOKUP($A10,[1]RSAM_Class_I_Costs_and_Rev!$A$5:$J$11,5,FALSE)/1000</f>
        <v>1659176.645</v>
      </c>
      <c r="E10" s="15">
        <f t="shared" si="0"/>
        <v>2.7120385738071908</v>
      </c>
      <c r="F10" s="14">
        <f>VLOOKUP($A10,'[1]Shortfall (Surplus)'!$A$6:$I$12,9,FALSE)</f>
        <v>-1090987.3755188896</v>
      </c>
      <c r="G10" s="15">
        <f t="shared" si="1"/>
        <v>2.0544911216979616</v>
      </c>
    </row>
    <row r="11" spans="1:7" x14ac:dyDescent="0.3">
      <c r="A11" s="13">
        <v>777</v>
      </c>
      <c r="B11" s="13" t="s">
        <v>3</v>
      </c>
      <c r="C11" s="14">
        <f>VLOOKUP($A11,[1]RSAM_Class_I_Costs_and_Rev!$A$5:$J$11,9,FALSE)/1000</f>
        <v>8571773.0669999998</v>
      </c>
      <c r="D11" s="14">
        <f>VLOOKUP($A11,[1]RSAM_Class_I_Costs_and_Rev!$A$5:$J$11,5,FALSE)/1000</f>
        <v>3672500.8229999999</v>
      </c>
      <c r="E11" s="15">
        <f t="shared" si="0"/>
        <v>2.3340425176536441</v>
      </c>
      <c r="F11" s="14">
        <f>VLOOKUP($A11,'[1]Shortfall (Surplus)'!$A$6:$I$12,9,FALSE)</f>
        <v>-2479511.8428160315</v>
      </c>
      <c r="G11" s="15">
        <f t="shared" si="1"/>
        <v>1.6588862788075047</v>
      </c>
    </row>
    <row r="12" spans="1:7" x14ac:dyDescent="0.3">
      <c r="A12" s="13">
        <v>802</v>
      </c>
      <c r="B12" s="13" t="s">
        <v>4</v>
      </c>
      <c r="C12" s="14">
        <f>VLOOKUP($A12,[1]RSAM_Class_I_Costs_and_Rev!$A$5:$J$11,9,FALSE)/1000</f>
        <v>12888156.639</v>
      </c>
      <c r="D12" s="14">
        <f>VLOOKUP($A12,[1]RSAM_Class_I_Costs_and_Rev!$A$5:$J$11,5,FALSE)/1000</f>
        <v>4930516.466</v>
      </c>
      <c r="E12" s="15">
        <f t="shared" si="0"/>
        <v>2.6139567178964982</v>
      </c>
      <c r="F12" s="14">
        <f>VLOOKUP($A12,'[1]Shortfall (Surplus)'!$A$6:$I$12,9,FALSE)</f>
        <v>-3625785.0186342867</v>
      </c>
      <c r="G12" s="15">
        <f t="shared" si="1"/>
        <v>1.878580405163931</v>
      </c>
    </row>
    <row r="14" spans="1:7" x14ac:dyDescent="0.3">
      <c r="F14" s="16"/>
    </row>
    <row r="15" spans="1:7" x14ac:dyDescent="0.3">
      <c r="A15" t="s">
        <v>21</v>
      </c>
    </row>
    <row r="16" spans="1:7" x14ac:dyDescent="0.3">
      <c r="A16" s="17" t="str">
        <f>"     Column C:  "&amp;'[1]Inputs from Decisions'!B1&amp;" Carload Waybill Sample."</f>
        <v xml:space="preserve">     Column C:  2020 Carload Waybill Sample.</v>
      </c>
    </row>
    <row r="17" spans="1:8" x14ac:dyDescent="0.3">
      <c r="A17" s="17" t="str">
        <f>"     Column D:  "&amp;'[1]Inputs from Decisions'!B1&amp;" Carload Waybill Sample."</f>
        <v xml:space="preserve">     Column D:  2020 Carload Waybill Sample.</v>
      </c>
    </row>
    <row r="18" spans="1:8" x14ac:dyDescent="0.3">
      <c r="A18" s="17" t="str">
        <f>"     Column F:  '"&amp;'[1]Inputs from Decisions'!B1&amp;" Shortfall (Surplus)' tab."</f>
        <v xml:space="preserve">     Column F:  '2020 Shortfall (Surplus)' tab.</v>
      </c>
    </row>
    <row r="19" spans="1:8" x14ac:dyDescent="0.3">
      <c r="C19" s="47"/>
      <c r="D19" s="47"/>
    </row>
    <row r="20" spans="1:8" x14ac:dyDescent="0.3">
      <c r="A20" s="48"/>
      <c r="B20" s="48"/>
      <c r="C20" s="48"/>
      <c r="D20" s="48"/>
      <c r="E20" s="48"/>
      <c r="F20" s="48"/>
      <c r="G20" s="48"/>
      <c r="H20" s="48"/>
    </row>
    <row r="21" spans="1:8" x14ac:dyDescent="0.3">
      <c r="A21" s="48"/>
      <c r="B21" s="48"/>
      <c r="C21" s="48"/>
      <c r="D21" s="48"/>
      <c r="E21" s="48"/>
      <c r="F21" s="48"/>
      <c r="G21" s="48"/>
      <c r="H21" s="48"/>
    </row>
    <row r="22" spans="1:8" x14ac:dyDescent="0.3">
      <c r="A22" s="48"/>
      <c r="B22" s="48"/>
      <c r="C22" s="48"/>
      <c r="D22" s="48"/>
      <c r="E22" s="48"/>
      <c r="F22" s="48"/>
      <c r="G22" s="48"/>
      <c r="H22" s="48"/>
    </row>
    <row r="23" spans="1:8" x14ac:dyDescent="0.3">
      <c r="A23" s="48"/>
      <c r="B23" s="48"/>
      <c r="C23" s="48"/>
      <c r="D23" s="48"/>
      <c r="E23" s="48"/>
      <c r="F23" s="48"/>
      <c r="G23" s="48"/>
      <c r="H23" s="48"/>
    </row>
    <row r="24" spans="1:8" x14ac:dyDescent="0.3">
      <c r="A24" s="48"/>
      <c r="B24" s="48"/>
      <c r="C24" s="48"/>
      <c r="D24" s="48"/>
      <c r="E24" s="48"/>
      <c r="F24" s="48"/>
      <c r="G24" s="48"/>
      <c r="H24" s="48"/>
    </row>
    <row r="25" spans="1:8" x14ac:dyDescent="0.3">
      <c r="A25" s="48"/>
      <c r="B25" s="48"/>
      <c r="C25" s="48"/>
      <c r="D25" s="48"/>
      <c r="E25" s="48"/>
      <c r="F25" s="48"/>
      <c r="G25" s="48"/>
      <c r="H25" s="48"/>
    </row>
  </sheetData>
  <sheetProtection algorithmName="SHA-512" hashValue="wzShDme/6Mam48D7fHl/6JWTxMxpR7TfrqfjCXJUI00nxyRPdKdNxDIkpbSdjALaCsqOEaY2fF/lhlQLc3v6WA==" saltValue="C1f0P9kK3ckVRg0QUrsSTQ==" spinCount="100000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/>
  <dimension ref="A1:G18"/>
  <sheetViews>
    <sheetView workbookViewId="0">
      <selection activeCell="G18" sqref="G18"/>
    </sheetView>
  </sheetViews>
  <sheetFormatPr defaultRowHeight="13" x14ac:dyDescent="0.3"/>
  <cols>
    <col min="2" max="2" width="10.7265625" customWidth="1"/>
    <col min="3" max="4" width="16.7265625" customWidth="1"/>
    <col min="5" max="5" width="12.7265625" customWidth="1"/>
    <col min="6" max="6" width="18.7265625" customWidth="1"/>
    <col min="7" max="7" width="12.7265625" customWidth="1"/>
  </cols>
  <sheetData>
    <row r="1" spans="1:7" ht="15.5" x14ac:dyDescent="0.35">
      <c r="A1" s="6" t="s">
        <v>40</v>
      </c>
      <c r="B1" s="7"/>
      <c r="C1" s="7"/>
      <c r="D1" s="7"/>
      <c r="E1" s="7"/>
      <c r="F1" s="7"/>
      <c r="G1" s="7"/>
    </row>
    <row r="2" spans="1:7" x14ac:dyDescent="0.3">
      <c r="A2" s="8"/>
      <c r="B2" s="8"/>
      <c r="C2" s="8"/>
      <c r="D2" s="8"/>
      <c r="E2" s="8"/>
      <c r="F2" s="8"/>
      <c r="G2" s="8"/>
    </row>
    <row r="3" spans="1:7" x14ac:dyDescent="0.3">
      <c r="A3" s="4" t="s">
        <v>5</v>
      </c>
      <c r="B3" s="4" t="s">
        <v>6</v>
      </c>
      <c r="C3" s="4" t="s">
        <v>7</v>
      </c>
      <c r="D3" s="4" t="s">
        <v>15</v>
      </c>
      <c r="E3" s="4" t="s">
        <v>16</v>
      </c>
      <c r="F3" s="4" t="s">
        <v>17</v>
      </c>
      <c r="G3" s="4" t="s">
        <v>20</v>
      </c>
    </row>
    <row r="4" spans="1:7" x14ac:dyDescent="0.3">
      <c r="A4" s="8"/>
      <c r="B4" s="8"/>
      <c r="C4" s="1" t="s">
        <v>14</v>
      </c>
      <c r="D4" s="9"/>
      <c r="E4" s="8"/>
      <c r="F4" s="8"/>
      <c r="G4" s="8"/>
    </row>
    <row r="5" spans="1:7" ht="26" x14ac:dyDescent="0.3">
      <c r="A5" s="2" t="s">
        <v>10</v>
      </c>
      <c r="B5" s="3" t="s">
        <v>11</v>
      </c>
      <c r="C5" s="2" t="s">
        <v>12</v>
      </c>
      <c r="D5" s="2" t="s">
        <v>13</v>
      </c>
      <c r="E5" s="2" t="s">
        <v>25</v>
      </c>
      <c r="F5" s="5" t="s">
        <v>27</v>
      </c>
      <c r="G5" s="2" t="s">
        <v>19</v>
      </c>
    </row>
    <row r="6" spans="1:7" x14ac:dyDescent="0.3">
      <c r="A6" s="10">
        <v>103</v>
      </c>
      <c r="B6" s="10" t="s">
        <v>8</v>
      </c>
      <c r="C6" s="11">
        <v>1820797.9609999999</v>
      </c>
      <c r="D6" s="11">
        <v>659803.34699999995</v>
      </c>
      <c r="E6" s="12">
        <v>2.7596070393986651</v>
      </c>
      <c r="F6" s="11">
        <v>294127.89286684181</v>
      </c>
      <c r="G6" s="12">
        <v>3.2053881864695084</v>
      </c>
    </row>
    <row r="7" spans="1:7" x14ac:dyDescent="0.3">
      <c r="A7" s="13">
        <v>105</v>
      </c>
      <c r="B7" s="13" t="s">
        <v>9</v>
      </c>
      <c r="C7" s="14">
        <v>1007745.686</v>
      </c>
      <c r="D7" s="14">
        <v>403165.91</v>
      </c>
      <c r="E7" s="15">
        <v>2.4995805969805334</v>
      </c>
      <c r="F7" s="14">
        <v>-99379.061943689216</v>
      </c>
      <c r="G7" s="15">
        <v>2.2530839079532066</v>
      </c>
    </row>
    <row r="8" spans="1:7" x14ac:dyDescent="0.3">
      <c r="A8" s="13">
        <v>400</v>
      </c>
      <c r="B8" s="13" t="s">
        <v>0</v>
      </c>
      <c r="C8" s="14">
        <v>427259.46500000003</v>
      </c>
      <c r="D8" s="14">
        <v>179941.26500000001</v>
      </c>
      <c r="E8" s="15">
        <v>2.3744384869140496</v>
      </c>
      <c r="F8" s="14">
        <v>192757.71016955544</v>
      </c>
      <c r="G8" s="15">
        <v>3.4456642014245893</v>
      </c>
    </row>
    <row r="9" spans="1:7" x14ac:dyDescent="0.3">
      <c r="A9" s="13">
        <v>555</v>
      </c>
      <c r="B9" s="13" t="s">
        <v>1</v>
      </c>
      <c r="C9" s="14">
        <v>5136525.0599999996</v>
      </c>
      <c r="D9" s="14">
        <v>2024927.112</v>
      </c>
      <c r="E9" s="15">
        <v>2.5366468894412235</v>
      </c>
      <c r="F9" s="14">
        <v>-733906.23705945443</v>
      </c>
      <c r="G9" s="15">
        <v>2.1742110107815797</v>
      </c>
    </row>
    <row r="10" spans="1:7" x14ac:dyDescent="0.3">
      <c r="A10" s="13">
        <v>712</v>
      </c>
      <c r="B10" s="13" t="s">
        <v>2</v>
      </c>
      <c r="C10" s="14">
        <v>5165477.0279999999</v>
      </c>
      <c r="D10" s="14">
        <v>1896333.3489999999</v>
      </c>
      <c r="E10" s="15">
        <v>2.7239288022456227</v>
      </c>
      <c r="F10" s="14">
        <v>-1100978.5869392897</v>
      </c>
      <c r="G10" s="15">
        <v>2.1433459698444137</v>
      </c>
    </row>
    <row r="11" spans="1:7" x14ac:dyDescent="0.3">
      <c r="A11" s="13">
        <v>777</v>
      </c>
      <c r="B11" s="13" t="s">
        <v>3</v>
      </c>
      <c r="C11" s="14">
        <v>7271127.2510000002</v>
      </c>
      <c r="D11" s="14">
        <v>3193957.7680000002</v>
      </c>
      <c r="E11" s="15">
        <v>2.2765257962546737</v>
      </c>
      <c r="F11" s="14">
        <v>-1794856.2234706299</v>
      </c>
      <c r="G11" s="15">
        <v>1.714572146944358</v>
      </c>
    </row>
    <row r="12" spans="1:7" x14ac:dyDescent="0.3">
      <c r="A12" s="13">
        <v>802</v>
      </c>
      <c r="B12" s="13" t="s">
        <v>4</v>
      </c>
      <c r="C12" s="14">
        <v>12512741.736</v>
      </c>
      <c r="D12" s="14">
        <v>5028138.0039999997</v>
      </c>
      <c r="E12" s="15">
        <v>2.4885438160300741</v>
      </c>
      <c r="F12" s="14">
        <v>-3422396.3707781634</v>
      </c>
      <c r="G12" s="15">
        <v>1.8078949619104043</v>
      </c>
    </row>
    <row r="14" spans="1:7" x14ac:dyDescent="0.3">
      <c r="F14" s="16"/>
    </row>
    <row r="15" spans="1:7" x14ac:dyDescent="0.3">
      <c r="A15" t="s">
        <v>21</v>
      </c>
    </row>
    <row r="16" spans="1:7" x14ac:dyDescent="0.3">
      <c r="A16" s="17" t="s">
        <v>41</v>
      </c>
    </row>
    <row r="17" spans="1:1" x14ac:dyDescent="0.3">
      <c r="A17" s="17" t="s">
        <v>42</v>
      </c>
    </row>
    <row r="18" spans="1:1" x14ac:dyDescent="0.3">
      <c r="A18" s="17" t="s">
        <v>43</v>
      </c>
    </row>
  </sheetData>
  <sheetProtection algorithmName="SHA-512" hashValue="t3kcUpk5mejXhQCu55lxaRbZd4/+RmkiMkOvlzEy5is71CwkIf+tcuyKrsSOiThnoMX2cWEx3LnVYoPAY74J1Q==" saltValue="y+OU8y6DLYNiMuhmirNdAw==" spinCount="100000"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6">
    <tabColor theme="0" tint="-0.14999847407452621"/>
  </sheetPr>
  <dimension ref="A1:H18"/>
  <sheetViews>
    <sheetView workbookViewId="0"/>
  </sheetViews>
  <sheetFormatPr defaultRowHeight="13" x14ac:dyDescent="0.3"/>
  <cols>
    <col min="2" max="2" width="10.7265625" customWidth="1"/>
    <col min="3" max="4" width="16.7265625" customWidth="1"/>
    <col min="5" max="5" width="12.7265625" customWidth="1"/>
    <col min="6" max="6" width="18.7265625" customWidth="1"/>
    <col min="7" max="7" width="12.7265625" customWidth="1"/>
  </cols>
  <sheetData>
    <row r="1" spans="1:8" ht="15.5" x14ac:dyDescent="0.35">
      <c r="A1" s="6" t="s">
        <v>36</v>
      </c>
      <c r="B1" s="7"/>
      <c r="C1" s="7"/>
      <c r="D1" s="7"/>
      <c r="E1" s="7"/>
      <c r="F1" s="7"/>
      <c r="G1" s="7"/>
    </row>
    <row r="2" spans="1:8" x14ac:dyDescent="0.3">
      <c r="A2" s="8"/>
      <c r="B2" s="8"/>
      <c r="C2" s="8"/>
      <c r="D2" s="8"/>
      <c r="E2" s="8"/>
      <c r="F2" s="8"/>
      <c r="G2" s="8"/>
    </row>
    <row r="3" spans="1:8" x14ac:dyDescent="0.3">
      <c r="A3" s="4" t="s">
        <v>5</v>
      </c>
      <c r="B3" s="4" t="s">
        <v>6</v>
      </c>
      <c r="C3" s="4" t="s">
        <v>7</v>
      </c>
      <c r="D3" s="4" t="s">
        <v>15</v>
      </c>
      <c r="E3" s="4" t="s">
        <v>16</v>
      </c>
      <c r="F3" s="4" t="s">
        <v>17</v>
      </c>
      <c r="G3" s="4" t="s">
        <v>20</v>
      </c>
    </row>
    <row r="4" spans="1:8" x14ac:dyDescent="0.3">
      <c r="A4" s="8"/>
      <c r="B4" s="8"/>
      <c r="C4" s="1" t="s">
        <v>14</v>
      </c>
      <c r="D4" s="9"/>
      <c r="E4" s="8"/>
      <c r="F4" s="8"/>
      <c r="G4" s="8"/>
    </row>
    <row r="5" spans="1:8" ht="26" x14ac:dyDescent="0.3">
      <c r="A5" s="2" t="s">
        <v>10</v>
      </c>
      <c r="B5" s="3" t="s">
        <v>11</v>
      </c>
      <c r="C5" s="2" t="s">
        <v>12</v>
      </c>
      <c r="D5" s="2" t="s">
        <v>13</v>
      </c>
      <c r="E5" s="2" t="s">
        <v>25</v>
      </c>
      <c r="F5" s="5" t="s">
        <v>27</v>
      </c>
      <c r="G5" s="2" t="s">
        <v>19</v>
      </c>
    </row>
    <row r="6" spans="1:8" x14ac:dyDescent="0.3">
      <c r="A6" s="10">
        <v>103</v>
      </c>
      <c r="B6" s="10" t="s">
        <v>8</v>
      </c>
      <c r="C6" s="11">
        <v>1548741.26</v>
      </c>
      <c r="D6" s="11">
        <v>565476.73699999996</v>
      </c>
      <c r="E6" s="12">
        <v>2.7388240022330046</v>
      </c>
      <c r="F6" s="11">
        <v>665139.88189144561</v>
      </c>
      <c r="G6" s="12">
        <v>3.9150702354913065</v>
      </c>
      <c r="H6" s="18"/>
    </row>
    <row r="7" spans="1:8" x14ac:dyDescent="0.3">
      <c r="A7" s="13">
        <v>105</v>
      </c>
      <c r="B7" s="13" t="s">
        <v>9</v>
      </c>
      <c r="C7" s="14">
        <v>791497.65599999996</v>
      </c>
      <c r="D7" s="14">
        <v>324195.69799999997</v>
      </c>
      <c r="E7" s="15">
        <v>2.4414193676314606</v>
      </c>
      <c r="F7" s="14">
        <v>-61206.651736244145</v>
      </c>
      <c r="G7" s="15">
        <v>2.2526239822705971</v>
      </c>
      <c r="H7" s="18"/>
    </row>
    <row r="8" spans="1:8" x14ac:dyDescent="0.3">
      <c r="A8" s="13">
        <v>400</v>
      </c>
      <c r="B8" s="13" t="s">
        <v>0</v>
      </c>
      <c r="C8" s="14">
        <v>335347.86700000003</v>
      </c>
      <c r="D8" s="14">
        <v>135290.18799999999</v>
      </c>
      <c r="E8" s="15">
        <v>2.4787301426471524</v>
      </c>
      <c r="F8" s="14">
        <v>254384.46051226629</v>
      </c>
      <c r="G8" s="15">
        <v>4.359017725012448</v>
      </c>
      <c r="H8" s="18"/>
    </row>
    <row r="9" spans="1:8" x14ac:dyDescent="0.3">
      <c r="A9" s="13">
        <v>555</v>
      </c>
      <c r="B9" s="13" t="s">
        <v>1</v>
      </c>
      <c r="C9" s="14">
        <v>4581487.2520000003</v>
      </c>
      <c r="D9" s="14">
        <v>1845370.132</v>
      </c>
      <c r="E9" s="15">
        <v>2.4826928606645513</v>
      </c>
      <c r="F9" s="14">
        <v>187893.29036159077</v>
      </c>
      <c r="G9" s="15">
        <v>2.5845116162103308</v>
      </c>
      <c r="H9" s="18"/>
    </row>
    <row r="10" spans="1:8" x14ac:dyDescent="0.3">
      <c r="A10" s="13">
        <v>712</v>
      </c>
      <c r="B10" s="13" t="s">
        <v>2</v>
      </c>
      <c r="C10" s="14">
        <v>4910062.7740000002</v>
      </c>
      <c r="D10" s="14">
        <v>1891656.868</v>
      </c>
      <c r="E10" s="15">
        <v>2.5956413433432473</v>
      </c>
      <c r="F10" s="14">
        <v>-303368.9032804101</v>
      </c>
      <c r="G10" s="15">
        <v>2.4352692862263803</v>
      </c>
      <c r="H10" s="18"/>
    </row>
    <row r="11" spans="1:8" x14ac:dyDescent="0.3">
      <c r="A11" s="13">
        <v>777</v>
      </c>
      <c r="B11" s="13" t="s">
        <v>3</v>
      </c>
      <c r="C11" s="14">
        <v>5215622.8779999996</v>
      </c>
      <c r="D11" s="14">
        <v>2351495.676</v>
      </c>
      <c r="E11" s="15">
        <v>2.2180023255973018</v>
      </c>
      <c r="F11" s="14">
        <v>219098.88625562022</v>
      </c>
      <c r="G11" s="15">
        <v>2.3111765927209045</v>
      </c>
      <c r="H11" s="18"/>
    </row>
    <row r="12" spans="1:8" x14ac:dyDescent="0.3">
      <c r="A12" s="13">
        <v>802</v>
      </c>
      <c r="B12" s="13" t="s">
        <v>4</v>
      </c>
      <c r="C12" s="14">
        <v>10286304.442</v>
      </c>
      <c r="D12" s="14">
        <v>4261651.6279999996</v>
      </c>
      <c r="E12" s="15">
        <v>2.4136896536583823</v>
      </c>
      <c r="F12" s="14">
        <v>-1942490.8336137345</v>
      </c>
      <c r="G12" s="15">
        <v>1.9578826090723964</v>
      </c>
      <c r="H12" s="18"/>
    </row>
    <row r="13" spans="1:8" x14ac:dyDescent="0.3">
      <c r="C13" s="8"/>
      <c r="D13" s="8"/>
      <c r="E13" s="8"/>
      <c r="F13" s="8"/>
      <c r="G13" s="8"/>
    </row>
    <row r="14" spans="1:8" x14ac:dyDescent="0.3">
      <c r="F14" s="16"/>
    </row>
    <row r="15" spans="1:8" x14ac:dyDescent="0.3">
      <c r="A15" t="s">
        <v>21</v>
      </c>
    </row>
    <row r="16" spans="1:8" x14ac:dyDescent="0.3">
      <c r="A16" s="17" t="s">
        <v>37</v>
      </c>
    </row>
    <row r="17" spans="1:1" x14ac:dyDescent="0.3">
      <c r="A17" s="17" t="s">
        <v>38</v>
      </c>
    </row>
    <row r="18" spans="1:1" x14ac:dyDescent="0.3">
      <c r="A18" s="17" t="s">
        <v>39</v>
      </c>
    </row>
  </sheetData>
  <sheetProtection algorithmName="SHA-512" hashValue="iV26edmXw/PqttJd2q/y9a66qZjXt8JpKWdwDllHpvtB7aHSThyKok5xd09h3MDRI4d332+qCTKQJ159cJpRpQ==" saltValue="RIfo8tcxH0KdAti7fAPARQ==" spinCount="100000" sheet="1" objects="1" scenarios="1"/>
  <pageMargins left="0.7" right="0.7" top="0.75" bottom="0.75" header="0.3" footer="0.3"/>
  <pageSetup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7">
    <tabColor theme="0" tint="-0.14999847407452621"/>
  </sheetPr>
  <dimension ref="A1:H18"/>
  <sheetViews>
    <sheetView workbookViewId="0">
      <selection activeCell="C7" sqref="C7"/>
    </sheetView>
  </sheetViews>
  <sheetFormatPr defaultRowHeight="13" x14ac:dyDescent="0.3"/>
  <cols>
    <col min="2" max="2" width="10.7265625" customWidth="1"/>
    <col min="3" max="4" width="16.7265625" customWidth="1"/>
    <col min="5" max="5" width="12.7265625" customWidth="1"/>
    <col min="6" max="6" width="18.7265625" customWidth="1"/>
    <col min="7" max="7" width="12.7265625" customWidth="1"/>
  </cols>
  <sheetData>
    <row r="1" spans="1:8" ht="15.5" x14ac:dyDescent="0.35">
      <c r="A1" s="6" t="s">
        <v>32</v>
      </c>
      <c r="B1" s="7"/>
      <c r="C1" s="7"/>
      <c r="D1" s="7"/>
      <c r="E1" s="7"/>
      <c r="F1" s="7"/>
      <c r="G1" s="7"/>
    </row>
    <row r="2" spans="1:8" x14ac:dyDescent="0.3">
      <c r="A2" s="8"/>
      <c r="B2" s="8"/>
      <c r="C2" s="8"/>
      <c r="D2" s="8"/>
      <c r="E2" s="8"/>
      <c r="F2" s="8"/>
      <c r="G2" s="8"/>
    </row>
    <row r="3" spans="1:8" x14ac:dyDescent="0.3">
      <c r="A3" s="4" t="s">
        <v>5</v>
      </c>
      <c r="B3" s="4" t="s">
        <v>6</v>
      </c>
      <c r="C3" s="4" t="s">
        <v>7</v>
      </c>
      <c r="D3" s="4" t="s">
        <v>15</v>
      </c>
      <c r="E3" s="4" t="s">
        <v>16</v>
      </c>
      <c r="F3" s="4" t="s">
        <v>17</v>
      </c>
      <c r="G3" s="4" t="s">
        <v>20</v>
      </c>
    </row>
    <row r="4" spans="1:8" x14ac:dyDescent="0.3">
      <c r="A4" s="8"/>
      <c r="B4" s="8"/>
      <c r="C4" s="1" t="s">
        <v>14</v>
      </c>
      <c r="D4" s="9"/>
      <c r="E4" s="8"/>
      <c r="F4" s="8"/>
      <c r="G4" s="8"/>
    </row>
    <row r="5" spans="1:8" ht="26" x14ac:dyDescent="0.3">
      <c r="A5" s="2" t="s">
        <v>10</v>
      </c>
      <c r="B5" s="3" t="s">
        <v>11</v>
      </c>
      <c r="C5" s="2" t="s">
        <v>12</v>
      </c>
      <c r="D5" s="2" t="s">
        <v>13</v>
      </c>
      <c r="E5" s="2" t="s">
        <v>25</v>
      </c>
      <c r="F5" s="5" t="s">
        <v>27</v>
      </c>
      <c r="G5" s="2" t="s">
        <v>19</v>
      </c>
    </row>
    <row r="6" spans="1:8" x14ac:dyDescent="0.3">
      <c r="A6" s="10">
        <v>103</v>
      </c>
      <c r="B6" s="10" t="s">
        <v>8</v>
      </c>
      <c r="C6" s="11">
        <v>1545062.2509999999</v>
      </c>
      <c r="D6" s="11">
        <v>555440.48</v>
      </c>
      <c r="E6" s="12">
        <v>2.7816882395751925</v>
      </c>
      <c r="F6" s="11">
        <v>343900.074132454</v>
      </c>
      <c r="G6" s="12">
        <v>3.4008366209327305</v>
      </c>
      <c r="H6" s="19"/>
    </row>
    <row r="7" spans="1:8" x14ac:dyDescent="0.3">
      <c r="A7" s="13">
        <v>105</v>
      </c>
      <c r="B7" s="13" t="s">
        <v>9</v>
      </c>
      <c r="C7" s="14">
        <v>842106.55500000005</v>
      </c>
      <c r="D7" s="14">
        <v>347197.78499999997</v>
      </c>
      <c r="E7" s="15">
        <v>2.4254375787564433</v>
      </c>
      <c r="F7" s="14">
        <v>-33685.102549030431</v>
      </c>
      <c r="G7" s="15">
        <v>2.3284176552306337</v>
      </c>
    </row>
    <row r="8" spans="1:8" x14ac:dyDescent="0.3">
      <c r="A8" s="13">
        <v>400</v>
      </c>
      <c r="B8" s="13" t="s">
        <v>0</v>
      </c>
      <c r="C8" s="14">
        <v>327570.75799999997</v>
      </c>
      <c r="D8" s="14">
        <v>132867.274</v>
      </c>
      <c r="E8" s="15">
        <v>2.4653983493331846</v>
      </c>
      <c r="F8" s="14">
        <v>191919.18665216974</v>
      </c>
      <c r="G8" s="15">
        <v>3.9098412198339352</v>
      </c>
    </row>
    <row r="9" spans="1:8" x14ac:dyDescent="0.3">
      <c r="A9" s="13">
        <v>555</v>
      </c>
      <c r="B9" s="13" t="s">
        <v>1</v>
      </c>
      <c r="C9" s="14">
        <v>4731487.5130000003</v>
      </c>
      <c r="D9" s="14">
        <v>1906400.4890000001</v>
      </c>
      <c r="E9" s="15">
        <v>2.4818958767063135</v>
      </c>
      <c r="F9" s="14">
        <v>-1838.1460419377167</v>
      </c>
      <c r="G9" s="15">
        <v>2.4809316794914347</v>
      </c>
    </row>
    <row r="10" spans="1:8" x14ac:dyDescent="0.3">
      <c r="A10" s="13">
        <v>712</v>
      </c>
      <c r="B10" s="13" t="s">
        <v>2</v>
      </c>
      <c r="C10" s="14">
        <v>4424928.4970000004</v>
      </c>
      <c r="D10" s="14">
        <v>1665099.9639999999</v>
      </c>
      <c r="E10" s="15">
        <v>2.6574551634546792</v>
      </c>
      <c r="F10" s="14">
        <v>397606.92383032542</v>
      </c>
      <c r="G10" s="15">
        <v>2.896243784214223</v>
      </c>
    </row>
    <row r="11" spans="1:8" x14ac:dyDescent="0.3">
      <c r="A11" s="13">
        <v>777</v>
      </c>
      <c r="B11" s="13" t="s">
        <v>3</v>
      </c>
      <c r="C11" s="14">
        <v>5871525.6399999997</v>
      </c>
      <c r="D11" s="14">
        <v>2651448.1310000001</v>
      </c>
      <c r="E11" s="15">
        <v>2.2144599290296281</v>
      </c>
      <c r="F11" s="14">
        <v>-447194.50302125269</v>
      </c>
      <c r="G11" s="15">
        <v>2.0457994533473856</v>
      </c>
    </row>
    <row r="12" spans="1:8" x14ac:dyDescent="0.3">
      <c r="A12" s="13">
        <v>802</v>
      </c>
      <c r="B12" s="13" t="s">
        <v>4</v>
      </c>
      <c r="C12" s="14">
        <v>10484328.83</v>
      </c>
      <c r="D12" s="14">
        <v>4337490.7120000003</v>
      </c>
      <c r="E12" s="15">
        <v>2.4171415055700987</v>
      </c>
      <c r="F12" s="14">
        <v>-2252345.3621732346</v>
      </c>
      <c r="G12" s="15">
        <v>1.8978676876592155</v>
      </c>
    </row>
    <row r="14" spans="1:8" x14ac:dyDescent="0.3">
      <c r="F14" s="16"/>
    </row>
    <row r="15" spans="1:8" x14ac:dyDescent="0.3">
      <c r="A15" t="s">
        <v>21</v>
      </c>
    </row>
    <row r="16" spans="1:8" x14ac:dyDescent="0.3">
      <c r="A16" s="17" t="s">
        <v>33</v>
      </c>
    </row>
    <row r="17" spans="1:1" x14ac:dyDescent="0.3">
      <c r="A17" s="17" t="s">
        <v>34</v>
      </c>
    </row>
    <row r="18" spans="1:1" x14ac:dyDescent="0.3">
      <c r="A18" s="17" t="s">
        <v>35</v>
      </c>
    </row>
  </sheetData>
  <sheetProtection algorithmName="SHA-512" hashValue="e87uve8GGrl4cAXaa14ZqI0R4SfpuT6Lm4JTGo9JfrlaFi3KI/6ubvii8OajqHaeYwkrJQvvkELKN38KOJm3lg==" saltValue="HnmTnoV8WH+JVJPELxdo9g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RSAM</vt:lpstr>
      <vt:lpstr>Table 1 - RSAM</vt:lpstr>
      <vt:lpstr>Table 2 - RVC&gt;180</vt:lpstr>
      <vt:lpstr>RSAM 2020</vt:lpstr>
      <vt:lpstr>RSAM 2019</vt:lpstr>
      <vt:lpstr>RSAM 2018</vt:lpstr>
      <vt:lpstr>RSAM 2017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Douglas Pelsey</dc:creator>
  <cp:lastModifiedBy>Smith-Bozek, Jennifer</cp:lastModifiedBy>
  <cp:lastPrinted>2018-03-30T19:12:45Z</cp:lastPrinted>
  <dcterms:created xsi:type="dcterms:W3CDTF">2007-11-28T21:38:04Z</dcterms:created>
  <dcterms:modified xsi:type="dcterms:W3CDTF">2022-01-26T15:31:17Z</dcterms:modified>
</cp:coreProperties>
</file>